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ghwa\Documents\"/>
    </mc:Choice>
  </mc:AlternateContent>
  <xr:revisionPtr revIDLastSave="0" documentId="13_ncr:1_{FBBE1BF7-3C2F-4AE2-AB6B-09F7011FD917}" xr6:coauthVersionLast="47" xr6:coauthVersionMax="47" xr10:uidLastSave="{00000000-0000-0000-0000-000000000000}"/>
  <bookViews>
    <workbookView xWindow="120" yWindow="330" windowWidth="28680" windowHeight="15270" tabRatio="991" xr2:uid="{00000000-000D-0000-FFFF-FFFF00000000}"/>
  </bookViews>
  <sheets>
    <sheet name="日用電統計" sheetId="11" r:id="rId1"/>
    <sheet name="電費計算基礎" sheetId="2" r:id="rId2"/>
    <sheet name="年度統計表" sheetId="30" r:id="rId3"/>
    <sheet name="Sheet3" sheetId="3" r:id="rId4"/>
  </sheets>
  <definedNames>
    <definedName name="_xlnm._FilterDatabase" localSheetId="0" hidden="1">日用電統計!$A$4:$F$1822</definedName>
    <definedName name="_xlnm.Print_Titles" localSheetId="1">電費計算基礎!$A:$C</definedName>
  </definedNames>
  <calcPr calcId="181029"/>
</workbook>
</file>

<file path=xl/calcChain.xml><?xml version="1.0" encoding="utf-8"?>
<calcChain xmlns="http://schemas.openxmlformats.org/spreadsheetml/2006/main">
  <c r="C2217" i="11" l="1"/>
  <c r="G2217" i="11" s="1"/>
  <c r="D2217" i="11"/>
  <c r="E2217" i="11"/>
  <c r="F2217" i="11"/>
  <c r="C2218" i="11"/>
  <c r="D2218" i="11"/>
  <c r="E2218" i="11"/>
  <c r="F2218" i="11"/>
  <c r="C2219" i="11"/>
  <c r="D2219" i="11"/>
  <c r="E2219" i="11"/>
  <c r="F2219" i="11"/>
  <c r="C2220" i="11"/>
  <c r="D2220" i="11"/>
  <c r="G2220" i="11" s="1"/>
  <c r="E2220" i="11"/>
  <c r="F2220" i="11"/>
  <c r="C2221" i="11"/>
  <c r="D2221" i="11"/>
  <c r="E2221" i="11"/>
  <c r="F2221" i="11"/>
  <c r="G2221" i="11"/>
  <c r="C2222" i="11"/>
  <c r="D2222" i="11"/>
  <c r="G2222" i="11" s="1"/>
  <c r="E2222" i="11"/>
  <c r="F2222" i="11"/>
  <c r="C2223" i="11"/>
  <c r="D2223" i="11"/>
  <c r="E2223" i="11"/>
  <c r="G2223" i="11" s="1"/>
  <c r="F2223" i="11"/>
  <c r="C2224" i="11"/>
  <c r="D2224" i="11"/>
  <c r="E2224" i="11"/>
  <c r="F2224" i="11"/>
  <c r="C2225" i="11"/>
  <c r="D2225" i="11"/>
  <c r="E2225" i="11"/>
  <c r="F2225" i="11"/>
  <c r="G2225" i="11"/>
  <c r="C2210" i="11"/>
  <c r="D2210" i="11"/>
  <c r="E2210" i="11"/>
  <c r="F2210" i="11"/>
  <c r="G2210" i="11"/>
  <c r="C2211" i="11"/>
  <c r="D2211" i="11"/>
  <c r="F2211" i="11"/>
  <c r="E2211" i="11"/>
  <c r="G2211" i="11"/>
  <c r="C2212" i="11"/>
  <c r="D2212" i="11"/>
  <c r="F2212" i="11"/>
  <c r="E2212" i="11"/>
  <c r="G2212" i="11"/>
  <c r="C2213" i="11"/>
  <c r="D2213" i="11"/>
  <c r="F2213" i="11"/>
  <c r="E2213" i="11"/>
  <c r="G2213" i="11"/>
  <c r="C2214" i="11"/>
  <c r="D2214" i="11"/>
  <c r="E2214" i="11"/>
  <c r="F2214" i="11"/>
  <c r="G2214" i="11"/>
  <c r="C2215" i="11"/>
  <c r="D2215" i="11"/>
  <c r="F2215" i="11"/>
  <c r="E2215" i="11"/>
  <c r="G2215" i="11"/>
  <c r="C2216" i="11"/>
  <c r="D2216" i="11"/>
  <c r="F2216" i="11"/>
  <c r="E2216" i="11"/>
  <c r="G2216" i="11"/>
  <c r="C2203" i="11"/>
  <c r="D2203" i="11"/>
  <c r="E2203" i="11"/>
  <c r="F2203" i="11"/>
  <c r="G2203" i="11"/>
  <c r="C2204" i="11"/>
  <c r="D2204" i="11"/>
  <c r="F2204" i="11"/>
  <c r="E2204" i="11"/>
  <c r="G2204" i="11"/>
  <c r="C2205" i="11"/>
  <c r="D2205" i="11"/>
  <c r="E2205" i="11"/>
  <c r="F2205" i="11"/>
  <c r="G2205" i="11"/>
  <c r="C2206" i="11"/>
  <c r="D2206" i="11"/>
  <c r="F2206" i="11"/>
  <c r="E2206" i="11"/>
  <c r="G2206" i="11"/>
  <c r="C2207" i="11"/>
  <c r="D2207" i="11"/>
  <c r="F2207" i="11"/>
  <c r="E2207" i="11"/>
  <c r="G2207" i="11"/>
  <c r="C2208" i="11"/>
  <c r="D2208" i="11"/>
  <c r="F2208" i="11"/>
  <c r="E2208" i="11"/>
  <c r="G2208" i="11"/>
  <c r="C2209" i="11"/>
  <c r="D2209" i="11"/>
  <c r="E2209" i="11"/>
  <c r="F2209" i="11"/>
  <c r="C2198" i="11"/>
  <c r="D2198" i="11"/>
  <c r="E2198" i="11"/>
  <c r="F2198" i="11"/>
  <c r="G2198" i="11"/>
  <c r="C2199" i="11"/>
  <c r="D2199" i="11"/>
  <c r="E2199" i="11"/>
  <c r="F2199" i="11"/>
  <c r="G2199" i="11"/>
  <c r="C2200" i="11"/>
  <c r="D2200" i="11"/>
  <c r="E2200" i="11"/>
  <c r="F2200" i="11"/>
  <c r="G2200" i="11"/>
  <c r="C2201" i="11"/>
  <c r="D2201" i="11"/>
  <c r="E2201" i="11"/>
  <c r="F2201" i="11"/>
  <c r="G2201" i="11"/>
  <c r="C2202" i="11"/>
  <c r="D2202" i="11"/>
  <c r="E2202" i="11"/>
  <c r="F2202" i="11"/>
  <c r="G2202" i="11"/>
  <c r="C2189" i="11"/>
  <c r="D2189" i="11"/>
  <c r="E2189" i="11"/>
  <c r="F2189" i="11"/>
  <c r="G2189" i="11"/>
  <c r="C2190" i="11"/>
  <c r="D2190" i="11"/>
  <c r="E2190" i="11"/>
  <c r="F2190" i="11"/>
  <c r="G2190" i="11"/>
  <c r="C2191" i="11"/>
  <c r="D2191" i="11"/>
  <c r="F2191" i="11"/>
  <c r="E2191" i="11"/>
  <c r="G2191" i="11"/>
  <c r="C2192" i="11"/>
  <c r="D2192" i="11"/>
  <c r="E2192" i="11"/>
  <c r="F2192" i="11"/>
  <c r="G2192" i="11"/>
  <c r="C2193" i="11"/>
  <c r="D2193" i="11"/>
  <c r="F2193" i="11"/>
  <c r="E2193" i="11"/>
  <c r="G2193" i="11"/>
  <c r="C2194" i="11"/>
  <c r="D2194" i="11"/>
  <c r="E2194" i="11"/>
  <c r="F2194" i="11"/>
  <c r="G2194" i="11"/>
  <c r="C2195" i="11"/>
  <c r="D2195" i="11"/>
  <c r="F2195" i="11"/>
  <c r="E2195" i="11"/>
  <c r="G2195" i="11"/>
  <c r="C2196" i="11"/>
  <c r="D2196" i="11"/>
  <c r="E2196" i="11"/>
  <c r="F2196" i="11"/>
  <c r="G2196" i="11"/>
  <c r="C2197" i="11"/>
  <c r="D2197" i="11"/>
  <c r="F2197" i="11"/>
  <c r="E2197" i="11"/>
  <c r="G2197" i="11"/>
  <c r="C2182" i="11"/>
  <c r="D2182" i="11"/>
  <c r="E2182" i="11"/>
  <c r="F2182" i="11"/>
  <c r="G2182" i="11"/>
  <c r="C2183" i="11"/>
  <c r="D2183" i="11"/>
  <c r="E2183" i="11"/>
  <c r="F2183" i="11"/>
  <c r="G2183" i="11"/>
  <c r="C2184" i="11"/>
  <c r="D2184" i="11"/>
  <c r="E2184" i="11"/>
  <c r="F2184" i="11"/>
  <c r="G2184" i="11"/>
  <c r="C2185" i="11"/>
  <c r="D2185" i="11"/>
  <c r="E2185" i="11"/>
  <c r="F2185" i="11"/>
  <c r="G2185" i="11"/>
  <c r="C2186" i="11"/>
  <c r="D2186" i="11"/>
  <c r="F2186" i="11"/>
  <c r="E2186" i="11"/>
  <c r="G2186" i="11"/>
  <c r="C2187" i="11"/>
  <c r="D2187" i="11"/>
  <c r="F2187" i="11"/>
  <c r="E2187" i="11"/>
  <c r="G2187" i="11"/>
  <c r="C2188" i="11"/>
  <c r="D2188" i="11"/>
  <c r="F2188" i="11"/>
  <c r="E2188" i="11"/>
  <c r="G2188" i="11"/>
  <c r="C2171" i="11"/>
  <c r="D2171" i="11"/>
  <c r="F2171" i="11"/>
  <c r="E2171" i="11"/>
  <c r="G2171" i="11"/>
  <c r="C2172" i="11"/>
  <c r="D2172" i="11"/>
  <c r="E2172" i="11"/>
  <c r="F2172" i="11"/>
  <c r="G2172" i="11"/>
  <c r="C2173" i="11"/>
  <c r="D2173" i="11"/>
  <c r="F2173" i="11"/>
  <c r="E2173" i="11"/>
  <c r="G2173" i="11"/>
  <c r="C2174" i="11"/>
  <c r="D2174" i="11"/>
  <c r="F2174" i="11"/>
  <c r="E2174" i="11"/>
  <c r="G2174" i="11"/>
  <c r="C2175" i="11"/>
  <c r="D2175" i="11"/>
  <c r="F2175" i="11"/>
  <c r="E2175" i="11"/>
  <c r="G2175" i="11"/>
  <c r="C2176" i="11"/>
  <c r="D2176" i="11"/>
  <c r="E2176" i="11"/>
  <c r="F2176" i="11"/>
  <c r="G2176" i="11"/>
  <c r="C2177" i="11"/>
  <c r="D2177" i="11"/>
  <c r="F2177" i="11"/>
  <c r="E2177" i="11"/>
  <c r="G2177" i="11"/>
  <c r="C2178" i="11"/>
  <c r="D2178" i="11"/>
  <c r="F2178" i="11"/>
  <c r="E2178" i="11"/>
  <c r="G2178" i="11"/>
  <c r="C2179" i="11"/>
  <c r="D2179" i="11"/>
  <c r="F2179" i="11"/>
  <c r="E2179" i="11"/>
  <c r="G2179" i="11"/>
  <c r="C2180" i="11"/>
  <c r="D2180" i="11"/>
  <c r="E2180" i="11"/>
  <c r="F2180" i="11"/>
  <c r="G2180" i="11"/>
  <c r="C2181" i="11"/>
  <c r="D2181" i="11"/>
  <c r="F2181" i="11"/>
  <c r="E2181" i="11"/>
  <c r="G2181" i="11"/>
  <c r="C2162" i="11"/>
  <c r="D2162" i="11"/>
  <c r="E2162" i="11"/>
  <c r="F2162" i="11"/>
  <c r="G2162" i="11"/>
  <c r="C2163" i="11"/>
  <c r="D2163" i="11"/>
  <c r="E2163" i="11"/>
  <c r="F2163" i="11"/>
  <c r="G2163" i="11"/>
  <c r="C2164" i="11"/>
  <c r="D2164" i="11"/>
  <c r="E2164" i="11"/>
  <c r="F2164" i="11"/>
  <c r="G2164" i="11"/>
  <c r="C2165" i="11"/>
  <c r="D2165" i="11"/>
  <c r="E2165" i="11"/>
  <c r="F2165" i="11"/>
  <c r="G2165" i="11"/>
  <c r="C2166" i="11"/>
  <c r="D2166" i="11"/>
  <c r="F2166" i="11"/>
  <c r="E2166" i="11"/>
  <c r="G2166" i="11"/>
  <c r="C2167" i="11"/>
  <c r="D2167" i="11"/>
  <c r="F2167" i="11"/>
  <c r="E2167" i="11"/>
  <c r="G2167" i="11"/>
  <c r="C2168" i="11"/>
  <c r="D2168" i="11"/>
  <c r="E2168" i="11"/>
  <c r="F2168" i="11"/>
  <c r="G2168" i="11"/>
  <c r="C2169" i="11"/>
  <c r="D2169" i="11"/>
  <c r="F2169" i="11"/>
  <c r="E2169" i="11"/>
  <c r="G2169" i="11"/>
  <c r="C2170" i="11"/>
  <c r="D2170" i="11"/>
  <c r="F2170" i="11"/>
  <c r="E2170" i="11"/>
  <c r="G2170" i="11"/>
  <c r="AD2147" i="11"/>
  <c r="AE2147" i="11"/>
  <c r="AD2148" i="11"/>
  <c r="AE2148" i="11"/>
  <c r="AD2149" i="11"/>
  <c r="AE2149" i="11"/>
  <c r="AD2150" i="11"/>
  <c r="AE2150" i="11"/>
  <c r="AD2151" i="11"/>
  <c r="AE2151" i="11"/>
  <c r="AD2152" i="11"/>
  <c r="AE2152" i="11"/>
  <c r="AD2153" i="11"/>
  <c r="AE2153" i="11"/>
  <c r="AD2154" i="11"/>
  <c r="AE2154" i="11"/>
  <c r="AD2155" i="11"/>
  <c r="AE2155" i="11"/>
  <c r="AD2156" i="11"/>
  <c r="AE2156" i="11"/>
  <c r="AD2157" i="11"/>
  <c r="AE2157" i="11"/>
  <c r="AD2158" i="11"/>
  <c r="AE2158" i="11"/>
  <c r="AD2159" i="11"/>
  <c r="AE2159" i="11"/>
  <c r="AD2160" i="11"/>
  <c r="AE2160" i="11"/>
  <c r="AD2161" i="11"/>
  <c r="AE2161" i="11"/>
  <c r="C2154" i="11"/>
  <c r="D2154" i="11"/>
  <c r="E2154" i="11"/>
  <c r="F2154" i="11"/>
  <c r="G2154" i="11"/>
  <c r="C2155" i="11"/>
  <c r="D2155" i="11"/>
  <c r="E2155" i="11"/>
  <c r="F2155" i="11"/>
  <c r="G2155" i="11"/>
  <c r="C2156" i="11"/>
  <c r="D2156" i="11"/>
  <c r="E2156" i="11"/>
  <c r="F2156" i="11"/>
  <c r="G2156" i="11"/>
  <c r="C2157" i="11"/>
  <c r="D2157" i="11"/>
  <c r="E2157" i="11"/>
  <c r="F2157" i="11"/>
  <c r="G2157" i="11"/>
  <c r="C2158" i="11"/>
  <c r="D2158" i="11"/>
  <c r="E2158" i="11"/>
  <c r="F2158" i="11"/>
  <c r="C2159" i="11"/>
  <c r="D2159" i="11"/>
  <c r="F2159" i="11"/>
  <c r="E2159" i="11"/>
  <c r="G2159" i="11"/>
  <c r="C2160" i="11"/>
  <c r="D2160" i="11"/>
  <c r="F2160" i="11"/>
  <c r="E2160" i="11"/>
  <c r="G2160" i="11"/>
  <c r="C2161" i="11"/>
  <c r="D2161" i="11"/>
  <c r="E2161" i="11"/>
  <c r="F2161" i="11"/>
  <c r="G2161" i="11"/>
  <c r="C2147" i="11"/>
  <c r="D2147" i="11"/>
  <c r="E2147" i="11"/>
  <c r="F2147" i="11"/>
  <c r="G2147" i="11"/>
  <c r="C2148" i="11"/>
  <c r="D2148" i="11"/>
  <c r="F2148" i="11"/>
  <c r="E2148" i="11"/>
  <c r="G2148" i="11"/>
  <c r="C2149" i="11"/>
  <c r="D2149" i="11"/>
  <c r="F2149" i="11"/>
  <c r="E2149" i="11"/>
  <c r="G2149" i="11"/>
  <c r="C2150" i="11"/>
  <c r="D2150" i="11"/>
  <c r="E2150" i="11"/>
  <c r="F2150" i="11"/>
  <c r="G2150" i="11"/>
  <c r="C2151" i="11"/>
  <c r="D2151" i="11"/>
  <c r="E2151" i="11"/>
  <c r="F2151" i="11"/>
  <c r="G2151" i="11"/>
  <c r="C2152" i="11"/>
  <c r="D2152" i="11"/>
  <c r="F2152" i="11"/>
  <c r="E2152" i="11"/>
  <c r="G2152" i="11"/>
  <c r="C2153" i="11"/>
  <c r="D2153" i="11"/>
  <c r="F2153" i="11"/>
  <c r="E2153" i="11"/>
  <c r="G2153" i="11"/>
  <c r="C2142" i="11"/>
  <c r="D2142" i="11"/>
  <c r="E2142" i="11"/>
  <c r="F2142" i="11"/>
  <c r="G2142" i="11"/>
  <c r="C2143" i="11"/>
  <c r="D2143" i="11"/>
  <c r="F2143" i="11"/>
  <c r="E2143" i="11"/>
  <c r="G2143" i="11"/>
  <c r="C2144" i="11"/>
  <c r="D2144" i="11"/>
  <c r="F2144" i="11"/>
  <c r="E2144" i="11"/>
  <c r="G2144" i="11"/>
  <c r="C2145" i="11"/>
  <c r="D2145" i="11"/>
  <c r="E2145" i="11"/>
  <c r="F2145" i="11"/>
  <c r="G2145" i="11"/>
  <c r="C2146" i="11"/>
  <c r="D2146" i="11"/>
  <c r="E2146" i="11"/>
  <c r="F2146" i="11"/>
  <c r="G2146" i="11"/>
  <c r="AD2140" i="11"/>
  <c r="AE2140" i="11"/>
  <c r="AD2141" i="11"/>
  <c r="AE2141" i="11"/>
  <c r="AD2142" i="11"/>
  <c r="AE2142" i="11"/>
  <c r="AD2143" i="11"/>
  <c r="AE2143" i="11"/>
  <c r="AD2144" i="11"/>
  <c r="AE2144" i="11"/>
  <c r="AD2145" i="11"/>
  <c r="AE2145" i="11"/>
  <c r="AD2146" i="11"/>
  <c r="AE2146" i="11"/>
  <c r="C2140" i="11"/>
  <c r="D2140" i="11"/>
  <c r="E2140" i="11"/>
  <c r="F2140" i="11"/>
  <c r="G2140" i="11"/>
  <c r="C2141" i="11"/>
  <c r="D2141" i="11"/>
  <c r="E2141" i="11"/>
  <c r="F2141" i="11"/>
  <c r="AD2135" i="11"/>
  <c r="AE2135" i="11"/>
  <c r="AD2136" i="11"/>
  <c r="AE2136" i="11"/>
  <c r="AD2137" i="11"/>
  <c r="AE2137" i="11"/>
  <c r="AD2138" i="11"/>
  <c r="AE2138" i="11"/>
  <c r="AD2139" i="11"/>
  <c r="AE2139" i="11"/>
  <c r="C2135" i="11"/>
  <c r="D2135" i="11"/>
  <c r="E2135" i="11"/>
  <c r="F2135" i="11"/>
  <c r="G2135" i="11"/>
  <c r="C2136" i="11"/>
  <c r="D2136" i="11"/>
  <c r="E2136" i="11"/>
  <c r="F2136" i="11"/>
  <c r="G2136" i="11"/>
  <c r="C2137" i="11"/>
  <c r="D2137" i="11"/>
  <c r="E2137" i="11"/>
  <c r="F2137" i="11"/>
  <c r="G2137" i="11"/>
  <c r="C2138" i="11"/>
  <c r="D2138" i="11"/>
  <c r="E2138" i="11"/>
  <c r="F2138" i="11"/>
  <c r="G2138" i="11"/>
  <c r="C2139" i="11"/>
  <c r="D2139" i="11"/>
  <c r="F2139" i="11"/>
  <c r="E2139" i="11"/>
  <c r="G2139" i="11"/>
  <c r="AD2129" i="11"/>
  <c r="AE2129" i="11"/>
  <c r="AD2130" i="11"/>
  <c r="AE2130" i="11"/>
  <c r="AD2131" i="11"/>
  <c r="AE2131" i="11"/>
  <c r="AD2132" i="11"/>
  <c r="AE2132" i="11"/>
  <c r="AD2133" i="11"/>
  <c r="AE2133" i="11"/>
  <c r="AD2134" i="11"/>
  <c r="AE2134" i="11"/>
  <c r="C2126" i="11"/>
  <c r="D2126" i="11"/>
  <c r="E2126" i="11"/>
  <c r="F2126" i="11"/>
  <c r="C2127" i="11"/>
  <c r="D2127" i="11"/>
  <c r="E2127" i="11"/>
  <c r="F2127" i="11"/>
  <c r="G2127" i="11"/>
  <c r="C2128" i="11"/>
  <c r="D2128" i="11"/>
  <c r="F2128" i="11"/>
  <c r="E2128" i="11"/>
  <c r="G2128" i="11"/>
  <c r="C2129" i="11"/>
  <c r="D2129" i="11"/>
  <c r="E2129" i="11"/>
  <c r="F2129" i="11"/>
  <c r="G2129" i="11"/>
  <c r="C2130" i="11"/>
  <c r="D2130" i="11"/>
  <c r="E2130" i="11"/>
  <c r="F2130" i="11"/>
  <c r="G2130" i="11"/>
  <c r="C2131" i="11"/>
  <c r="D2131" i="11"/>
  <c r="E2131" i="11"/>
  <c r="F2131" i="11"/>
  <c r="G2131" i="11"/>
  <c r="C2132" i="11"/>
  <c r="D2132" i="11"/>
  <c r="F2132" i="11"/>
  <c r="E2132" i="11"/>
  <c r="G2132" i="11"/>
  <c r="C2133" i="11"/>
  <c r="D2133" i="11"/>
  <c r="E2133" i="11"/>
  <c r="F2133" i="11"/>
  <c r="G2133" i="11"/>
  <c r="C2134" i="11"/>
  <c r="D2134" i="11"/>
  <c r="E2134" i="11"/>
  <c r="F2134" i="11"/>
  <c r="G2134" i="11"/>
  <c r="AD2126" i="11"/>
  <c r="AE2126" i="11"/>
  <c r="AD2127" i="11"/>
  <c r="AE2127" i="11"/>
  <c r="AD2128" i="11"/>
  <c r="AE2128" i="11"/>
  <c r="AD2119" i="11"/>
  <c r="AE2119" i="11"/>
  <c r="AD2120" i="11"/>
  <c r="AE2120" i="11"/>
  <c r="AD2121" i="11"/>
  <c r="AE2121" i="11"/>
  <c r="AD2122" i="11"/>
  <c r="AE2122" i="11"/>
  <c r="AD2123" i="11"/>
  <c r="AE2123" i="11"/>
  <c r="AD2124" i="11"/>
  <c r="AE2124" i="11"/>
  <c r="AD2125" i="11"/>
  <c r="AE2125" i="11"/>
  <c r="C2119" i="11"/>
  <c r="D2119" i="11"/>
  <c r="F2119" i="11"/>
  <c r="E2119" i="11"/>
  <c r="G2119" i="11"/>
  <c r="C2120" i="11"/>
  <c r="D2120" i="11"/>
  <c r="F2120" i="11"/>
  <c r="E2120" i="11"/>
  <c r="G2120" i="11"/>
  <c r="C2121" i="11"/>
  <c r="D2121" i="11"/>
  <c r="F2121" i="11"/>
  <c r="E2121" i="11"/>
  <c r="G2121" i="11"/>
  <c r="C2122" i="11"/>
  <c r="D2122" i="11"/>
  <c r="F2122" i="11"/>
  <c r="E2122" i="11"/>
  <c r="G2122" i="11"/>
  <c r="C2123" i="11"/>
  <c r="D2123" i="11"/>
  <c r="F2123" i="11"/>
  <c r="E2123" i="11"/>
  <c r="G2123" i="11"/>
  <c r="C2124" i="11"/>
  <c r="D2124" i="11"/>
  <c r="F2124" i="11"/>
  <c r="E2124" i="11"/>
  <c r="G2124" i="11"/>
  <c r="C2125" i="11"/>
  <c r="D2125" i="11"/>
  <c r="F2125" i="11"/>
  <c r="E2125" i="11"/>
  <c r="G2125" i="11"/>
  <c r="C2112" i="11"/>
  <c r="D2112" i="11"/>
  <c r="E2112" i="11"/>
  <c r="F2112" i="11"/>
  <c r="G2112" i="11"/>
  <c r="C2113" i="11"/>
  <c r="D2113" i="11"/>
  <c r="E2113" i="11"/>
  <c r="F2113" i="11"/>
  <c r="G2113" i="11"/>
  <c r="C2114" i="11"/>
  <c r="D2114" i="11"/>
  <c r="E2114" i="11"/>
  <c r="F2114" i="11"/>
  <c r="G2114" i="11"/>
  <c r="C2115" i="11"/>
  <c r="D2115" i="11"/>
  <c r="F2115" i="11"/>
  <c r="E2115" i="11"/>
  <c r="G2115" i="11"/>
  <c r="C2116" i="11"/>
  <c r="D2116" i="11"/>
  <c r="F2116" i="11"/>
  <c r="E2116" i="11"/>
  <c r="G2116" i="11"/>
  <c r="C2117" i="11"/>
  <c r="D2117" i="11"/>
  <c r="E2117" i="11"/>
  <c r="F2117" i="11"/>
  <c r="G2117" i="11"/>
  <c r="C2118" i="11"/>
  <c r="D2118" i="11"/>
  <c r="E2118" i="11"/>
  <c r="F2118" i="11"/>
  <c r="G2118" i="11"/>
  <c r="AD2117" i="11"/>
  <c r="AE2117" i="11"/>
  <c r="AD2118" i="11"/>
  <c r="AE2118" i="11"/>
  <c r="AD2110" i="11"/>
  <c r="AE2110" i="11"/>
  <c r="AD2111" i="11"/>
  <c r="AE2111" i="11"/>
  <c r="AD2112" i="11"/>
  <c r="AE2112" i="11"/>
  <c r="AD2113" i="11"/>
  <c r="AE2113" i="11"/>
  <c r="AD2114" i="11"/>
  <c r="AE2114" i="11"/>
  <c r="AD2115" i="11"/>
  <c r="AE2115" i="11"/>
  <c r="AD2116" i="11"/>
  <c r="AE2116" i="11"/>
  <c r="AB2056" i="11"/>
  <c r="AB2057" i="11"/>
  <c r="AB2058" i="11"/>
  <c r="AB2059" i="11"/>
  <c r="AB2060" i="11"/>
  <c r="AB2061" i="11"/>
  <c r="AB2062" i="11"/>
  <c r="AB2063" i="11"/>
  <c r="AB2064" i="11"/>
  <c r="AB2065" i="11"/>
  <c r="AB2066" i="11"/>
  <c r="AB2067" i="11"/>
  <c r="AB2068" i="11"/>
  <c r="AB2069" i="11"/>
  <c r="AB2070" i="11"/>
  <c r="AB2071" i="11"/>
  <c r="AB2072" i="11"/>
  <c r="AB2073" i="11"/>
  <c r="AB2074" i="11"/>
  <c r="AB2075" i="11"/>
  <c r="AB2076" i="11"/>
  <c r="AB2077" i="11"/>
  <c r="AB2078" i="11"/>
  <c r="AB2079" i="11"/>
  <c r="AB2080" i="11"/>
  <c r="AB2081" i="11"/>
  <c r="AB2082" i="11"/>
  <c r="AB2083" i="11"/>
  <c r="AB2084" i="11"/>
  <c r="AB2085" i="11"/>
  <c r="AB2086" i="11"/>
  <c r="AB2087" i="11"/>
  <c r="AB2088" i="11"/>
  <c r="AB2089" i="11"/>
  <c r="AB2090" i="11"/>
  <c r="AB2091" i="11"/>
  <c r="AB2092" i="11"/>
  <c r="AB2093" i="11"/>
  <c r="AB2094" i="11"/>
  <c r="AB2095" i="11"/>
  <c r="AB2096" i="11"/>
  <c r="AB2097" i="11"/>
  <c r="AB2098" i="11"/>
  <c r="AB2099" i="11"/>
  <c r="AB2100" i="11"/>
  <c r="AB2101" i="11"/>
  <c r="AB2102" i="11"/>
  <c r="AB2103" i="11"/>
  <c r="AB2104" i="11"/>
  <c r="AB2105" i="11"/>
  <c r="AB2106" i="11"/>
  <c r="AB2107" i="11"/>
  <c r="AB2108" i="11"/>
  <c r="AB2109" i="11"/>
  <c r="E2111" i="11"/>
  <c r="C2110" i="11"/>
  <c r="D2110" i="11"/>
  <c r="E2110" i="11"/>
  <c r="F2110" i="11"/>
  <c r="G2110" i="11"/>
  <c r="C2111" i="11"/>
  <c r="D2111" i="11"/>
  <c r="F2111" i="11"/>
  <c r="AD2105" i="11"/>
  <c r="AE2105" i="11"/>
  <c r="AD2106" i="11"/>
  <c r="AE2106" i="11"/>
  <c r="AD2107" i="11"/>
  <c r="AE2107" i="11"/>
  <c r="AD2108" i="11"/>
  <c r="AE2108" i="11"/>
  <c r="AD2109" i="11"/>
  <c r="AE2109" i="11"/>
  <c r="C2105" i="11"/>
  <c r="D2105" i="11"/>
  <c r="F2105" i="11"/>
  <c r="E2105" i="11"/>
  <c r="G2105" i="11"/>
  <c r="C2106" i="11"/>
  <c r="D2106" i="11"/>
  <c r="F2106" i="11"/>
  <c r="E2106" i="11"/>
  <c r="G2106" i="11"/>
  <c r="C2107" i="11"/>
  <c r="D2107" i="11"/>
  <c r="F2107" i="11"/>
  <c r="E2107" i="11"/>
  <c r="C2108" i="11"/>
  <c r="D2108" i="11"/>
  <c r="E2108" i="11"/>
  <c r="F2108" i="11"/>
  <c r="C2109" i="11"/>
  <c r="D2109" i="11"/>
  <c r="F2109" i="11"/>
  <c r="E2109" i="11"/>
  <c r="AD2091" i="11"/>
  <c r="AE2091" i="11"/>
  <c r="AD2092" i="11"/>
  <c r="AE2092" i="11"/>
  <c r="AD2093" i="11"/>
  <c r="AE2093" i="11"/>
  <c r="AD2094" i="11"/>
  <c r="AE2094" i="11"/>
  <c r="AD2095" i="11"/>
  <c r="AE2095" i="11"/>
  <c r="AD2096" i="11"/>
  <c r="AE2096" i="11"/>
  <c r="AD2097" i="11"/>
  <c r="AE2097" i="11"/>
  <c r="AD2098" i="11"/>
  <c r="AE2098" i="11"/>
  <c r="AD2099" i="11"/>
  <c r="AE2099" i="11"/>
  <c r="AD2100" i="11"/>
  <c r="AE2100" i="11"/>
  <c r="AD2101" i="11"/>
  <c r="AE2101" i="11"/>
  <c r="AD2102" i="11"/>
  <c r="AE2102" i="11"/>
  <c r="AD2103" i="11"/>
  <c r="AE2103" i="11"/>
  <c r="AD2104" i="11"/>
  <c r="AE2104" i="11"/>
  <c r="C2091" i="11"/>
  <c r="D2091" i="11"/>
  <c r="F2091" i="11"/>
  <c r="E2091" i="11"/>
  <c r="C2092" i="11"/>
  <c r="D2092" i="11"/>
  <c r="E2092" i="11"/>
  <c r="F2092" i="11"/>
  <c r="C2093" i="11"/>
  <c r="D2093" i="11"/>
  <c r="E2093" i="11"/>
  <c r="F2093" i="11"/>
  <c r="C2094" i="11"/>
  <c r="D2094" i="11"/>
  <c r="E2094" i="11"/>
  <c r="F2094" i="11"/>
  <c r="C2095" i="11"/>
  <c r="D2095" i="11"/>
  <c r="E2095" i="11"/>
  <c r="F2095" i="11"/>
  <c r="C2096" i="11"/>
  <c r="D2096" i="11"/>
  <c r="E2096" i="11"/>
  <c r="F2096" i="11"/>
  <c r="C2097" i="11"/>
  <c r="D2097" i="11"/>
  <c r="E2097" i="11"/>
  <c r="F2097" i="11"/>
  <c r="C2098" i="11"/>
  <c r="D2098" i="11"/>
  <c r="F2098" i="11"/>
  <c r="E2098" i="11"/>
  <c r="G2098" i="11"/>
  <c r="C2099" i="11"/>
  <c r="D2099" i="11"/>
  <c r="E2099" i="11"/>
  <c r="F2099" i="11"/>
  <c r="C2100" i="11"/>
  <c r="D2100" i="11"/>
  <c r="E2100" i="11"/>
  <c r="F2100" i="11"/>
  <c r="C2101" i="11"/>
  <c r="D2101" i="11"/>
  <c r="E2101" i="11"/>
  <c r="F2101" i="11"/>
  <c r="C2102" i="11"/>
  <c r="D2102" i="11"/>
  <c r="F2102" i="11"/>
  <c r="E2102" i="11"/>
  <c r="G2102" i="11"/>
  <c r="C2103" i="11"/>
  <c r="D2103" i="11"/>
  <c r="E2103" i="11"/>
  <c r="F2103" i="11"/>
  <c r="C2104" i="11"/>
  <c r="D2104" i="11"/>
  <c r="E2104" i="11"/>
  <c r="F2104" i="11"/>
  <c r="AD2084" i="11"/>
  <c r="AE2084" i="11"/>
  <c r="AD2085" i="11"/>
  <c r="AE2085" i="11"/>
  <c r="AD2086" i="11"/>
  <c r="AE2086" i="11"/>
  <c r="AD2087" i="11"/>
  <c r="AE2087" i="11"/>
  <c r="AD2088" i="11"/>
  <c r="AE2088" i="11"/>
  <c r="AD2089" i="11"/>
  <c r="AE2089" i="11"/>
  <c r="AD2090" i="11"/>
  <c r="AE2090" i="11"/>
  <c r="C2084" i="11"/>
  <c r="D2084" i="11"/>
  <c r="F2084" i="11"/>
  <c r="E2084" i="11"/>
  <c r="C2085" i="11"/>
  <c r="D2085" i="11"/>
  <c r="E2085" i="11"/>
  <c r="F2085" i="11"/>
  <c r="C2086" i="11"/>
  <c r="D2086" i="11"/>
  <c r="E2086" i="11"/>
  <c r="F2086" i="11"/>
  <c r="G2086" i="11"/>
  <c r="C2087" i="11"/>
  <c r="D2087" i="11"/>
  <c r="E2087" i="11"/>
  <c r="F2087" i="11"/>
  <c r="G2087" i="11"/>
  <c r="C2088" i="11"/>
  <c r="D2088" i="11"/>
  <c r="E2088" i="11"/>
  <c r="F2088" i="11"/>
  <c r="C2089" i="11"/>
  <c r="D2089" i="11"/>
  <c r="F2089" i="11"/>
  <c r="E2089" i="11"/>
  <c r="C2090" i="11"/>
  <c r="D2090" i="11"/>
  <c r="E2090" i="11"/>
  <c r="F2090" i="11"/>
  <c r="AD2082" i="11"/>
  <c r="AE2082" i="11"/>
  <c r="AD2083" i="11"/>
  <c r="AE2083" i="11"/>
  <c r="C2082" i="11"/>
  <c r="D2082" i="11"/>
  <c r="F2082" i="11"/>
  <c r="E2082" i="11"/>
  <c r="C2083" i="11"/>
  <c r="D2083" i="11"/>
  <c r="F2083" i="11"/>
  <c r="E2083" i="11"/>
  <c r="AD2055" i="11"/>
  <c r="AD2056" i="11"/>
  <c r="AD2057" i="11"/>
  <c r="AD2058" i="11"/>
  <c r="AD2059" i="11"/>
  <c r="AD2060" i="11"/>
  <c r="AD2061" i="11"/>
  <c r="AD2062" i="11"/>
  <c r="AD2063" i="11"/>
  <c r="AD2064" i="11"/>
  <c r="AD2065" i="11"/>
  <c r="AD2066" i="11"/>
  <c r="AD2067" i="11"/>
  <c r="AD2068" i="11"/>
  <c r="AD2069" i="11"/>
  <c r="AD2070" i="11"/>
  <c r="AD2071" i="11"/>
  <c r="AD2072" i="11"/>
  <c r="AD2073" i="11"/>
  <c r="AD2074" i="11"/>
  <c r="AD2075" i="11"/>
  <c r="AD2076" i="11"/>
  <c r="AD2077" i="11"/>
  <c r="AD2078" i="11"/>
  <c r="AD2079" i="11"/>
  <c r="AD2080" i="11"/>
  <c r="AD2081" i="11"/>
  <c r="AE2071" i="11"/>
  <c r="AE2072" i="11"/>
  <c r="AE2073" i="11"/>
  <c r="AE2074" i="11"/>
  <c r="AE2075" i="11"/>
  <c r="AE2076" i="11"/>
  <c r="AE2077" i="11"/>
  <c r="AE2078" i="11"/>
  <c r="AE2079" i="11"/>
  <c r="AE2080" i="11"/>
  <c r="AE2081" i="11"/>
  <c r="AE2070" i="11"/>
  <c r="C2081" i="11"/>
  <c r="D2081" i="11"/>
  <c r="E2081" i="11"/>
  <c r="F2081" i="11"/>
  <c r="C2078" i="11"/>
  <c r="D2078" i="11"/>
  <c r="F2078" i="11"/>
  <c r="E2078" i="11"/>
  <c r="C2079" i="11"/>
  <c r="D2079" i="11"/>
  <c r="E2079" i="11"/>
  <c r="F2079" i="11"/>
  <c r="G2079" i="11"/>
  <c r="C2080" i="11"/>
  <c r="D2080" i="11"/>
  <c r="F2080" i="11"/>
  <c r="E2080" i="11"/>
  <c r="C2074" i="11"/>
  <c r="D2074" i="11"/>
  <c r="E2074" i="11"/>
  <c r="F2074" i="11"/>
  <c r="C2075" i="11"/>
  <c r="D2075" i="11"/>
  <c r="F2075" i="11"/>
  <c r="E2075" i="11"/>
  <c r="C2076" i="11"/>
  <c r="D2076" i="11"/>
  <c r="F2076" i="11"/>
  <c r="E2076" i="11"/>
  <c r="C2077" i="11"/>
  <c r="D2077" i="11"/>
  <c r="F2077" i="11"/>
  <c r="E2077" i="11"/>
  <c r="C2072" i="11"/>
  <c r="D2072" i="11"/>
  <c r="E2072" i="11"/>
  <c r="F2072" i="11"/>
  <c r="C2073" i="11"/>
  <c r="D2073" i="11"/>
  <c r="F2073" i="11"/>
  <c r="E2073" i="11"/>
  <c r="G2073" i="11"/>
  <c r="F2008" i="11"/>
  <c r="C2070" i="11"/>
  <c r="D2070" i="11"/>
  <c r="F2070" i="11"/>
  <c r="E2070" i="11"/>
  <c r="C2071" i="11"/>
  <c r="D2071" i="11"/>
  <c r="F2071" i="11"/>
  <c r="E2071" i="11"/>
  <c r="C2063" i="11"/>
  <c r="D2063" i="11"/>
  <c r="F2063" i="11"/>
  <c r="E2063" i="11"/>
  <c r="C2064" i="11"/>
  <c r="D2064" i="11"/>
  <c r="F2064" i="11"/>
  <c r="E2064" i="11"/>
  <c r="C2065" i="11"/>
  <c r="D2065" i="11"/>
  <c r="F2065" i="11"/>
  <c r="E2065" i="11"/>
  <c r="C2066" i="11"/>
  <c r="D2066" i="11"/>
  <c r="E2066" i="11"/>
  <c r="F2066" i="11"/>
  <c r="C2067" i="11"/>
  <c r="D2067" i="11"/>
  <c r="E2067" i="11"/>
  <c r="F2067" i="11"/>
  <c r="G2067" i="11"/>
  <c r="C2068" i="11"/>
  <c r="D2068" i="11"/>
  <c r="E2068" i="11"/>
  <c r="F2068" i="11"/>
  <c r="C2069" i="11"/>
  <c r="D2069" i="11"/>
  <c r="F2069" i="11"/>
  <c r="E2069" i="11"/>
  <c r="C2056" i="11"/>
  <c r="D2056" i="11"/>
  <c r="E2056" i="11"/>
  <c r="F2056" i="11"/>
  <c r="C2057" i="11"/>
  <c r="D2057" i="11"/>
  <c r="E2057" i="11"/>
  <c r="F2057" i="11"/>
  <c r="G2057" i="11"/>
  <c r="C2058" i="11"/>
  <c r="D2058" i="11"/>
  <c r="E2058" i="11"/>
  <c r="F2058" i="11"/>
  <c r="G2058" i="11"/>
  <c r="C2059" i="11"/>
  <c r="D2059" i="11"/>
  <c r="E2059" i="11"/>
  <c r="F2059" i="11"/>
  <c r="C2060" i="11"/>
  <c r="D2060" i="11"/>
  <c r="E2060" i="11"/>
  <c r="F2060" i="11"/>
  <c r="C2061" i="11"/>
  <c r="D2061" i="11"/>
  <c r="E2061" i="11"/>
  <c r="F2061" i="11"/>
  <c r="G2061" i="11"/>
  <c r="C2062" i="11"/>
  <c r="D2062" i="11"/>
  <c r="E2062" i="11"/>
  <c r="F2062" i="11"/>
  <c r="G2062" i="11"/>
  <c r="C2052" i="11"/>
  <c r="D2052" i="11"/>
  <c r="E2052" i="11"/>
  <c r="F2052" i="11"/>
  <c r="G2052" i="11"/>
  <c r="C2053" i="11"/>
  <c r="D2053" i="11"/>
  <c r="F2053" i="11"/>
  <c r="E2053" i="11"/>
  <c r="G2053" i="11"/>
  <c r="C2054" i="11"/>
  <c r="D2054" i="11"/>
  <c r="E2054" i="11"/>
  <c r="F2054" i="11"/>
  <c r="C2055" i="11"/>
  <c r="D2055" i="11"/>
  <c r="F2055" i="11"/>
  <c r="E2055" i="11"/>
  <c r="G2055" i="11"/>
  <c r="C2049" i="11"/>
  <c r="D2049" i="11"/>
  <c r="E2049" i="11"/>
  <c r="F2049" i="11"/>
  <c r="G2049" i="11"/>
  <c r="C2050" i="11"/>
  <c r="D2050" i="11"/>
  <c r="E2050" i="11"/>
  <c r="F2050" i="11"/>
  <c r="G2050" i="11"/>
  <c r="C2051" i="11"/>
  <c r="D2051" i="11"/>
  <c r="E2051" i="11"/>
  <c r="F2051" i="11"/>
  <c r="G2051" i="11"/>
  <c r="C2042" i="11"/>
  <c r="D2042" i="11"/>
  <c r="F2042" i="11"/>
  <c r="E2042" i="11"/>
  <c r="C2043" i="11"/>
  <c r="D2043" i="11"/>
  <c r="F2043" i="11"/>
  <c r="E2043" i="11"/>
  <c r="G2043" i="11"/>
  <c r="C2044" i="11"/>
  <c r="D2044" i="11"/>
  <c r="F2044" i="11"/>
  <c r="E2044" i="11"/>
  <c r="G2044" i="11"/>
  <c r="C2045" i="11"/>
  <c r="D2045" i="11"/>
  <c r="E2045" i="11"/>
  <c r="F2045" i="11"/>
  <c r="G2045" i="11"/>
  <c r="C2046" i="11"/>
  <c r="D2046" i="11"/>
  <c r="F2046" i="11"/>
  <c r="E2046" i="11"/>
  <c r="G2046" i="11"/>
  <c r="C2047" i="11"/>
  <c r="D2047" i="11"/>
  <c r="F2047" i="11"/>
  <c r="E2047" i="11"/>
  <c r="G2047" i="11"/>
  <c r="C2048" i="11"/>
  <c r="D2048" i="11"/>
  <c r="F2048" i="11"/>
  <c r="E2048" i="11"/>
  <c r="C2036" i="11"/>
  <c r="D2036" i="11"/>
  <c r="E2036" i="11"/>
  <c r="F2036" i="11"/>
  <c r="G2036" i="11"/>
  <c r="C2037" i="11"/>
  <c r="D2037" i="11"/>
  <c r="F2037" i="11"/>
  <c r="E2037" i="11"/>
  <c r="G2037" i="11"/>
  <c r="C2038" i="11"/>
  <c r="D2038" i="11"/>
  <c r="F2038" i="11"/>
  <c r="E2038" i="11"/>
  <c r="G2038" i="11"/>
  <c r="C2039" i="11"/>
  <c r="D2039" i="11"/>
  <c r="F2039" i="11"/>
  <c r="E2039" i="11"/>
  <c r="G2039" i="11"/>
  <c r="C2040" i="11"/>
  <c r="D2040" i="11"/>
  <c r="E2040" i="11"/>
  <c r="F2040" i="11"/>
  <c r="G2040" i="11"/>
  <c r="C2041" i="11"/>
  <c r="D2041" i="11"/>
  <c r="F2041" i="11"/>
  <c r="E2041" i="11"/>
  <c r="G2041" i="11"/>
  <c r="C2028" i="11"/>
  <c r="D2028" i="11"/>
  <c r="E2028" i="11"/>
  <c r="F2028" i="11"/>
  <c r="C2029" i="11"/>
  <c r="D2029" i="11"/>
  <c r="E2029" i="11"/>
  <c r="F2029" i="11"/>
  <c r="G2029" i="11"/>
  <c r="C2030" i="11"/>
  <c r="D2030" i="11"/>
  <c r="F2030" i="11"/>
  <c r="E2030" i="11"/>
  <c r="C2031" i="11"/>
  <c r="D2031" i="11"/>
  <c r="F2031" i="11"/>
  <c r="E2031" i="11"/>
  <c r="G2031" i="11"/>
  <c r="C2032" i="11"/>
  <c r="D2032" i="11"/>
  <c r="E2032" i="11"/>
  <c r="F2032" i="11"/>
  <c r="G2032" i="11"/>
  <c r="C2033" i="11"/>
  <c r="D2033" i="11"/>
  <c r="E2033" i="11"/>
  <c r="F2033" i="11"/>
  <c r="C2034" i="11"/>
  <c r="D2034" i="11"/>
  <c r="F2034" i="11"/>
  <c r="E2034" i="11"/>
  <c r="G2034" i="11"/>
  <c r="C2035" i="11"/>
  <c r="D2035" i="11"/>
  <c r="F2035" i="11"/>
  <c r="E2035" i="11"/>
  <c r="G2035" i="11"/>
  <c r="C2022" i="11"/>
  <c r="D2022" i="11"/>
  <c r="E2022" i="11"/>
  <c r="F2022" i="11"/>
  <c r="G2022" i="11"/>
  <c r="C2023" i="11"/>
  <c r="D2023" i="11"/>
  <c r="E2023" i="11"/>
  <c r="F2023" i="11"/>
  <c r="G2023" i="11"/>
  <c r="C2024" i="11"/>
  <c r="D2024" i="11"/>
  <c r="F2024" i="11"/>
  <c r="E2024" i="11"/>
  <c r="G2024" i="11"/>
  <c r="C2025" i="11"/>
  <c r="D2025" i="11"/>
  <c r="E2025" i="11"/>
  <c r="F2025" i="11"/>
  <c r="G2025" i="11"/>
  <c r="C2026" i="11"/>
  <c r="D2026" i="11"/>
  <c r="E2026" i="11"/>
  <c r="F2026" i="11"/>
  <c r="G2026" i="11"/>
  <c r="C2027" i="11"/>
  <c r="D2027" i="11"/>
  <c r="E2027" i="11"/>
  <c r="F2027" i="11"/>
  <c r="C2017" i="11"/>
  <c r="D2017" i="11"/>
  <c r="E2017" i="11"/>
  <c r="F2017" i="11"/>
  <c r="G2017" i="11"/>
  <c r="C2018" i="11"/>
  <c r="D2018" i="11"/>
  <c r="E2018" i="11"/>
  <c r="F2018" i="11"/>
  <c r="C2019" i="11"/>
  <c r="D2019" i="11"/>
  <c r="F2019" i="11"/>
  <c r="E2019" i="11"/>
  <c r="G2019" i="11"/>
  <c r="C2020" i="11"/>
  <c r="D2020" i="11"/>
  <c r="F2020" i="11"/>
  <c r="E2020" i="11"/>
  <c r="G2020" i="11"/>
  <c r="C2021" i="11"/>
  <c r="D2021" i="11"/>
  <c r="E2021" i="11"/>
  <c r="F2021" i="11"/>
  <c r="G2021" i="11"/>
  <c r="F2007" i="11"/>
  <c r="C2014" i="11"/>
  <c r="D2014" i="11"/>
  <c r="F2014" i="11"/>
  <c r="E2014" i="11"/>
  <c r="G2014" i="11"/>
  <c r="C2015" i="11"/>
  <c r="D2015" i="11"/>
  <c r="F2015" i="11"/>
  <c r="E2015" i="11"/>
  <c r="G2015" i="11"/>
  <c r="C2016" i="11"/>
  <c r="D2016" i="11"/>
  <c r="F2016" i="11"/>
  <c r="E2016" i="11"/>
  <c r="G2016" i="11"/>
  <c r="C2007" i="11"/>
  <c r="D2007" i="11"/>
  <c r="E2007" i="11"/>
  <c r="G2007" i="11"/>
  <c r="C2008" i="11"/>
  <c r="D2008" i="11"/>
  <c r="E2008" i="11"/>
  <c r="G2008" i="11"/>
  <c r="C2009" i="11"/>
  <c r="D2009" i="11"/>
  <c r="F2009" i="11"/>
  <c r="E2009" i="11"/>
  <c r="C2010" i="11"/>
  <c r="D2010" i="11"/>
  <c r="F2010" i="11"/>
  <c r="E2010" i="11"/>
  <c r="G2010" i="11"/>
  <c r="C2011" i="11"/>
  <c r="D2011" i="11"/>
  <c r="E2011" i="11"/>
  <c r="F2011" i="11"/>
  <c r="G2011" i="11"/>
  <c r="C2012" i="11"/>
  <c r="D2012" i="11"/>
  <c r="F2012" i="11"/>
  <c r="E2012" i="11"/>
  <c r="C2013" i="11"/>
  <c r="D2013" i="11"/>
  <c r="F2013" i="11"/>
  <c r="E2013" i="11"/>
  <c r="G2013" i="11"/>
  <c r="C2000" i="11"/>
  <c r="D2000" i="11"/>
  <c r="F2000" i="11"/>
  <c r="E2000" i="11"/>
  <c r="C2001" i="11"/>
  <c r="D2001" i="11"/>
  <c r="E2001" i="11"/>
  <c r="F2001" i="11"/>
  <c r="G2001" i="11"/>
  <c r="C2002" i="11"/>
  <c r="D2002" i="11"/>
  <c r="F2002" i="11"/>
  <c r="E2002" i="11"/>
  <c r="G2002" i="11"/>
  <c r="C2003" i="11"/>
  <c r="D2003" i="11"/>
  <c r="F2003" i="11"/>
  <c r="E2003" i="11"/>
  <c r="G2003" i="11"/>
  <c r="C2004" i="11"/>
  <c r="D2004" i="11"/>
  <c r="E2004" i="11"/>
  <c r="F2004" i="11"/>
  <c r="G2004" i="11"/>
  <c r="C2005" i="11"/>
  <c r="D2005" i="11"/>
  <c r="E2005" i="11"/>
  <c r="F2005" i="11"/>
  <c r="G2005" i="11"/>
  <c r="C2006" i="11"/>
  <c r="D2006" i="11"/>
  <c r="F2006" i="11"/>
  <c r="E2006" i="11"/>
  <c r="G2006" i="11"/>
  <c r="C1994" i="11"/>
  <c r="D1994" i="11"/>
  <c r="E1994" i="11"/>
  <c r="F1994" i="11"/>
  <c r="G1994" i="11"/>
  <c r="C1995" i="11"/>
  <c r="D1995" i="11"/>
  <c r="E1995" i="11"/>
  <c r="F1995" i="11"/>
  <c r="C1996" i="11"/>
  <c r="D1996" i="11"/>
  <c r="E1996" i="11"/>
  <c r="F1996" i="11"/>
  <c r="G1996" i="11"/>
  <c r="C1997" i="11"/>
  <c r="D1997" i="11"/>
  <c r="E1997" i="11"/>
  <c r="F1997" i="11"/>
  <c r="C1998" i="11"/>
  <c r="D1998" i="11"/>
  <c r="F1998" i="11"/>
  <c r="E1998" i="11"/>
  <c r="G1998" i="11"/>
  <c r="C1999" i="11"/>
  <c r="D1999" i="11"/>
  <c r="E1999" i="11"/>
  <c r="F1999" i="11"/>
  <c r="G1999" i="11"/>
  <c r="C1987" i="11"/>
  <c r="D1987" i="11"/>
  <c r="E1987" i="11"/>
  <c r="F1987" i="11"/>
  <c r="C1988" i="11"/>
  <c r="D1988" i="11"/>
  <c r="E1988" i="11"/>
  <c r="F1988" i="11"/>
  <c r="G1988" i="11"/>
  <c r="C1989" i="11"/>
  <c r="D1989" i="11"/>
  <c r="E1989" i="11"/>
  <c r="F1989" i="11"/>
  <c r="G1989" i="11"/>
  <c r="C1990" i="11"/>
  <c r="D1990" i="11"/>
  <c r="E1990" i="11"/>
  <c r="F1990" i="11"/>
  <c r="G1990" i="11"/>
  <c r="C1991" i="11"/>
  <c r="D1991" i="11"/>
  <c r="E1991" i="11"/>
  <c r="F1991" i="11"/>
  <c r="G1991" i="11"/>
  <c r="C1992" i="11"/>
  <c r="D1992" i="11"/>
  <c r="E1992" i="11"/>
  <c r="F1992" i="11"/>
  <c r="G1992" i="11"/>
  <c r="C1993" i="11"/>
  <c r="D1993" i="11"/>
  <c r="E1993" i="11"/>
  <c r="F1993" i="11"/>
  <c r="G1993" i="11"/>
  <c r="C1986" i="11"/>
  <c r="D1986" i="11"/>
  <c r="E1986" i="11"/>
  <c r="F1986" i="11"/>
  <c r="G1986" i="11"/>
  <c r="F1985" i="11"/>
  <c r="E1985" i="11"/>
  <c r="D1985" i="11"/>
  <c r="C1985" i="11"/>
  <c r="F1984" i="11"/>
  <c r="E1984" i="11"/>
  <c r="D1984" i="11"/>
  <c r="C1984" i="11"/>
  <c r="F1983" i="11"/>
  <c r="E1983" i="11"/>
  <c r="D1983" i="11"/>
  <c r="C1983" i="11"/>
  <c r="F1982" i="11"/>
  <c r="E1982" i="11"/>
  <c r="D1982" i="11"/>
  <c r="C1982" i="11"/>
  <c r="G1982" i="11"/>
  <c r="C1979" i="11"/>
  <c r="D1979" i="11"/>
  <c r="F1979" i="11"/>
  <c r="E1979" i="11"/>
  <c r="G1979" i="11"/>
  <c r="C1980" i="11"/>
  <c r="D1980" i="11"/>
  <c r="E1980" i="11"/>
  <c r="F1980" i="11"/>
  <c r="G1980" i="11"/>
  <c r="C1981" i="11"/>
  <c r="D1981" i="11"/>
  <c r="F1981" i="11"/>
  <c r="E1981" i="11"/>
  <c r="G1981" i="11"/>
  <c r="C1973" i="11"/>
  <c r="D1973" i="11"/>
  <c r="E1973" i="11"/>
  <c r="F1973" i="11"/>
  <c r="G1973" i="11"/>
  <c r="C1974" i="11"/>
  <c r="D1974" i="11"/>
  <c r="F1974" i="11"/>
  <c r="E1974" i="11"/>
  <c r="C1975" i="11"/>
  <c r="D1975" i="11"/>
  <c r="F1975" i="11"/>
  <c r="E1975" i="11"/>
  <c r="C1976" i="11"/>
  <c r="D1976" i="11"/>
  <c r="F1976" i="11"/>
  <c r="E1976" i="11"/>
  <c r="C1977" i="11"/>
  <c r="D1977" i="11"/>
  <c r="F1977" i="11"/>
  <c r="E1977" i="11"/>
  <c r="C1978" i="11"/>
  <c r="D1978" i="11"/>
  <c r="F1978" i="11"/>
  <c r="E1978" i="11"/>
  <c r="C1965" i="11"/>
  <c r="D1965" i="11"/>
  <c r="F1965" i="11"/>
  <c r="E1965" i="11"/>
  <c r="C1966" i="11"/>
  <c r="D1966" i="11"/>
  <c r="F1966" i="11"/>
  <c r="E1966" i="11"/>
  <c r="G1966" i="11"/>
  <c r="C1967" i="11"/>
  <c r="D1967" i="11"/>
  <c r="F1967" i="11"/>
  <c r="E1967" i="11"/>
  <c r="G1967" i="11"/>
  <c r="C1968" i="11"/>
  <c r="D1968" i="11"/>
  <c r="F1968" i="11"/>
  <c r="E1968" i="11"/>
  <c r="C1969" i="11"/>
  <c r="D1969" i="11"/>
  <c r="F1969" i="11"/>
  <c r="E1969" i="11"/>
  <c r="C1970" i="11"/>
  <c r="D1970" i="11"/>
  <c r="F1970" i="11"/>
  <c r="E1970" i="11"/>
  <c r="G1970" i="11"/>
  <c r="C1971" i="11"/>
  <c r="D1971" i="11"/>
  <c r="F1971" i="11"/>
  <c r="E1971" i="11"/>
  <c r="G1971" i="11"/>
  <c r="C1972" i="11"/>
  <c r="D1972" i="11"/>
  <c r="F1972" i="11"/>
  <c r="E1972" i="11"/>
  <c r="C1960" i="11"/>
  <c r="D1960" i="11"/>
  <c r="F1960" i="11"/>
  <c r="E1960" i="11"/>
  <c r="C1961" i="11"/>
  <c r="D1961" i="11"/>
  <c r="F1961" i="11"/>
  <c r="E1961" i="11"/>
  <c r="C1962" i="11"/>
  <c r="D1962" i="11"/>
  <c r="F1962" i="11"/>
  <c r="E1962" i="11"/>
  <c r="C1963" i="11"/>
  <c r="D1963" i="11"/>
  <c r="F1963" i="11"/>
  <c r="E1963" i="11"/>
  <c r="G1963" i="11"/>
  <c r="C1964" i="11"/>
  <c r="D1964" i="11"/>
  <c r="F1964" i="11"/>
  <c r="E1964" i="11"/>
  <c r="C1951" i="11"/>
  <c r="D1951" i="11"/>
  <c r="F1951" i="11"/>
  <c r="E1951" i="11"/>
  <c r="C1952" i="11"/>
  <c r="D1952" i="11"/>
  <c r="F1952" i="11"/>
  <c r="E1952" i="11"/>
  <c r="C1953" i="11"/>
  <c r="D1953" i="11"/>
  <c r="F1953" i="11"/>
  <c r="E1953" i="11"/>
  <c r="C1954" i="11"/>
  <c r="D1954" i="11"/>
  <c r="F1954" i="11"/>
  <c r="E1954" i="11"/>
  <c r="C1955" i="11"/>
  <c r="D1955" i="11"/>
  <c r="F1955" i="11"/>
  <c r="E1955" i="11"/>
  <c r="C1956" i="11"/>
  <c r="D1956" i="11"/>
  <c r="F1956" i="11"/>
  <c r="E1956" i="11"/>
  <c r="C1957" i="11"/>
  <c r="D1957" i="11"/>
  <c r="F1957" i="11"/>
  <c r="E1957" i="11"/>
  <c r="C1958" i="11"/>
  <c r="D1958" i="11"/>
  <c r="F1958" i="11"/>
  <c r="E1958" i="11"/>
  <c r="C1959" i="11"/>
  <c r="D1959" i="11"/>
  <c r="F1959" i="11"/>
  <c r="E1959" i="11"/>
  <c r="C1948" i="11"/>
  <c r="D1948" i="11"/>
  <c r="E1948" i="11"/>
  <c r="F1948" i="11"/>
  <c r="G1948" i="11"/>
  <c r="C1949" i="11"/>
  <c r="D1949" i="11"/>
  <c r="F1949" i="11"/>
  <c r="E1949" i="11"/>
  <c r="C1950" i="11"/>
  <c r="D1950" i="11"/>
  <c r="F1950" i="11"/>
  <c r="E1950" i="11"/>
  <c r="G1950" i="11"/>
  <c r="C1945" i="11"/>
  <c r="D1945" i="11"/>
  <c r="F1945" i="11"/>
  <c r="E1945" i="11"/>
  <c r="G1945" i="11"/>
  <c r="C1946" i="11"/>
  <c r="D1946" i="11"/>
  <c r="F1946" i="11"/>
  <c r="E1946" i="11"/>
  <c r="C1947" i="11"/>
  <c r="D1947" i="11"/>
  <c r="F1947" i="11"/>
  <c r="E1947" i="11"/>
  <c r="C1940" i="11"/>
  <c r="D1940" i="11"/>
  <c r="F1940" i="11"/>
  <c r="E1940" i="11"/>
  <c r="G1940" i="11"/>
  <c r="C1941" i="11"/>
  <c r="D1941" i="11"/>
  <c r="F1941" i="11"/>
  <c r="E1941" i="11"/>
  <c r="G1941" i="11"/>
  <c r="C1942" i="11"/>
  <c r="D1942" i="11"/>
  <c r="F1942" i="11"/>
  <c r="E1942" i="11"/>
  <c r="C1943" i="11"/>
  <c r="D1943" i="11"/>
  <c r="F1943" i="11"/>
  <c r="E1943" i="11"/>
  <c r="C1944" i="11"/>
  <c r="D1944" i="11"/>
  <c r="F1944" i="11"/>
  <c r="E1944" i="11"/>
  <c r="C1924" i="11"/>
  <c r="D1924" i="11"/>
  <c r="F1924" i="11"/>
  <c r="E1924" i="11"/>
  <c r="G1924" i="11"/>
  <c r="C1925" i="11"/>
  <c r="D1925" i="11"/>
  <c r="F1925" i="11"/>
  <c r="E1925" i="11"/>
  <c r="G1925" i="11"/>
  <c r="C1926" i="11"/>
  <c r="D1926" i="11"/>
  <c r="F1926" i="11"/>
  <c r="E1926" i="11"/>
  <c r="G1926" i="11"/>
  <c r="C1927" i="11"/>
  <c r="D1927" i="11"/>
  <c r="F1927" i="11"/>
  <c r="E1927" i="11"/>
  <c r="C1928" i="11"/>
  <c r="D1928" i="11"/>
  <c r="F1928" i="11"/>
  <c r="E1928" i="11"/>
  <c r="C1929" i="11"/>
  <c r="D1929" i="11"/>
  <c r="F1929" i="11"/>
  <c r="E1929" i="11"/>
  <c r="C1930" i="11"/>
  <c r="D1930" i="11"/>
  <c r="F1930" i="11"/>
  <c r="E1930" i="11"/>
  <c r="C1931" i="11"/>
  <c r="D1931" i="11"/>
  <c r="F1931" i="11"/>
  <c r="E1931" i="11"/>
  <c r="G1931" i="11"/>
  <c r="C1932" i="11"/>
  <c r="D1932" i="11"/>
  <c r="F1932" i="11"/>
  <c r="E1932" i="11"/>
  <c r="G1932" i="11"/>
  <c r="C1933" i="11"/>
  <c r="D1933" i="11"/>
  <c r="F1933" i="11"/>
  <c r="E1933" i="11"/>
  <c r="C1934" i="11"/>
  <c r="D1934" i="11"/>
  <c r="F1934" i="11"/>
  <c r="E1934" i="11"/>
  <c r="C1935" i="11"/>
  <c r="D1935" i="11"/>
  <c r="F1935" i="11"/>
  <c r="E1935" i="11"/>
  <c r="G1935" i="11"/>
  <c r="C1936" i="11"/>
  <c r="D1936" i="11"/>
  <c r="F1936" i="11"/>
  <c r="E1936" i="11"/>
  <c r="C1937" i="11"/>
  <c r="D1937" i="11"/>
  <c r="F1937" i="11"/>
  <c r="E1937" i="11"/>
  <c r="C1938" i="11"/>
  <c r="D1938" i="11"/>
  <c r="F1938" i="11"/>
  <c r="E1938" i="11"/>
  <c r="C1939" i="11"/>
  <c r="D1939" i="11"/>
  <c r="F1939" i="11"/>
  <c r="E1939" i="11"/>
  <c r="G1939" i="11"/>
  <c r="C1917" i="11"/>
  <c r="D1917" i="11"/>
  <c r="F1917" i="11"/>
  <c r="E1917" i="11"/>
  <c r="C1918" i="11"/>
  <c r="D1918" i="11"/>
  <c r="F1918" i="11"/>
  <c r="E1918" i="11"/>
  <c r="C1919" i="11"/>
  <c r="D1919" i="11"/>
  <c r="F1919" i="11"/>
  <c r="E1919" i="11"/>
  <c r="C1920" i="11"/>
  <c r="D1920" i="11"/>
  <c r="F1920" i="11"/>
  <c r="E1920" i="11"/>
  <c r="C1921" i="11"/>
  <c r="D1921" i="11"/>
  <c r="F1921" i="11"/>
  <c r="E1921" i="11"/>
  <c r="C1922" i="11"/>
  <c r="D1922" i="11"/>
  <c r="F1922" i="11"/>
  <c r="E1922" i="11"/>
  <c r="C1923" i="11"/>
  <c r="D1923" i="11"/>
  <c r="E1923" i="11"/>
  <c r="F1923" i="11"/>
  <c r="C1909" i="11"/>
  <c r="D1909" i="11"/>
  <c r="F1909" i="11"/>
  <c r="E1909" i="11"/>
  <c r="C1910" i="11"/>
  <c r="D1910" i="11"/>
  <c r="F1910" i="11"/>
  <c r="E1910" i="11"/>
  <c r="C1911" i="11"/>
  <c r="D1911" i="11"/>
  <c r="F1911" i="11"/>
  <c r="E1911" i="11"/>
  <c r="C1912" i="11"/>
  <c r="D1912" i="11"/>
  <c r="E1912" i="11"/>
  <c r="F1912" i="11"/>
  <c r="C1913" i="11"/>
  <c r="D1913" i="11"/>
  <c r="F1913" i="11"/>
  <c r="E1913" i="11"/>
  <c r="C1914" i="11"/>
  <c r="D1914" i="11"/>
  <c r="F1914" i="11"/>
  <c r="E1914" i="11"/>
  <c r="C1915" i="11"/>
  <c r="D1915" i="11"/>
  <c r="F1915" i="11"/>
  <c r="E1915" i="11"/>
  <c r="C1916" i="11"/>
  <c r="D1916" i="11"/>
  <c r="F1916" i="11"/>
  <c r="E1916" i="11"/>
  <c r="C1895" i="11"/>
  <c r="D1895" i="11"/>
  <c r="F1895" i="11"/>
  <c r="E1895" i="11"/>
  <c r="C1896" i="11"/>
  <c r="D1896" i="11"/>
  <c r="F1896" i="11"/>
  <c r="E1896" i="11"/>
  <c r="C1897" i="11"/>
  <c r="D1897" i="11"/>
  <c r="F1897" i="11"/>
  <c r="E1897" i="11"/>
  <c r="C1898" i="11"/>
  <c r="D1898" i="11"/>
  <c r="F1898" i="11"/>
  <c r="E1898" i="11"/>
  <c r="C1899" i="11"/>
  <c r="D1899" i="11"/>
  <c r="F1899" i="11"/>
  <c r="E1899" i="11"/>
  <c r="C1900" i="11"/>
  <c r="D1900" i="11"/>
  <c r="F1900" i="11"/>
  <c r="E1900" i="11"/>
  <c r="C1901" i="11"/>
  <c r="D1901" i="11"/>
  <c r="F1901" i="11"/>
  <c r="E1901" i="11"/>
  <c r="C1902" i="11"/>
  <c r="D1902" i="11"/>
  <c r="F1902" i="11"/>
  <c r="E1902" i="11"/>
  <c r="C1903" i="11"/>
  <c r="D1903" i="11"/>
  <c r="F1903" i="11"/>
  <c r="E1903" i="11"/>
  <c r="C1904" i="11"/>
  <c r="D1904" i="11"/>
  <c r="F1904" i="11"/>
  <c r="E1904" i="11"/>
  <c r="G1904" i="11"/>
  <c r="C1905" i="11"/>
  <c r="D1905" i="11"/>
  <c r="E1905" i="11"/>
  <c r="F1905" i="11"/>
  <c r="G1905" i="11"/>
  <c r="C1906" i="11"/>
  <c r="D1906" i="11"/>
  <c r="F1906" i="11"/>
  <c r="E1906" i="11"/>
  <c r="G1906" i="11"/>
  <c r="C1907" i="11"/>
  <c r="D1907" i="11"/>
  <c r="F1907" i="11"/>
  <c r="E1907" i="11"/>
  <c r="C1908" i="11"/>
  <c r="D1908" i="11"/>
  <c r="F1908" i="11"/>
  <c r="E1908" i="11"/>
  <c r="C1888" i="11"/>
  <c r="D1888" i="11"/>
  <c r="F1888" i="11"/>
  <c r="E1888" i="11"/>
  <c r="C1889" i="11"/>
  <c r="D1889" i="11"/>
  <c r="F1889" i="11"/>
  <c r="E1889" i="11"/>
  <c r="C1890" i="11"/>
  <c r="D1890" i="11"/>
  <c r="F1890" i="11"/>
  <c r="E1890" i="11"/>
  <c r="C1891" i="11"/>
  <c r="D1891" i="11"/>
  <c r="F1891" i="11"/>
  <c r="E1891" i="11"/>
  <c r="C1892" i="11"/>
  <c r="D1892" i="11"/>
  <c r="F1892" i="11"/>
  <c r="E1892" i="11"/>
  <c r="C1893" i="11"/>
  <c r="D1893" i="11"/>
  <c r="F1893" i="11"/>
  <c r="E1893" i="11"/>
  <c r="C1894" i="11"/>
  <c r="D1894" i="11"/>
  <c r="F1894" i="11"/>
  <c r="E1894" i="11"/>
  <c r="C1881" i="11"/>
  <c r="D1881" i="11"/>
  <c r="F1881" i="11"/>
  <c r="E1881" i="11"/>
  <c r="C1882" i="11"/>
  <c r="D1882" i="11"/>
  <c r="F1882" i="11"/>
  <c r="E1882" i="11"/>
  <c r="C1883" i="11"/>
  <c r="D1883" i="11"/>
  <c r="F1883" i="11"/>
  <c r="E1883" i="11"/>
  <c r="C1884" i="11"/>
  <c r="D1884" i="11"/>
  <c r="F1884" i="11"/>
  <c r="E1884" i="11"/>
  <c r="C1885" i="11"/>
  <c r="D1885" i="11"/>
  <c r="F1885" i="11"/>
  <c r="E1885" i="11"/>
  <c r="C1886" i="11"/>
  <c r="D1886" i="11"/>
  <c r="F1886" i="11"/>
  <c r="E1886" i="11"/>
  <c r="C1887" i="11"/>
  <c r="D1887" i="11"/>
  <c r="F1887" i="11"/>
  <c r="E1887" i="11"/>
  <c r="C1875" i="11"/>
  <c r="D1875" i="11"/>
  <c r="F1875" i="11"/>
  <c r="E1875" i="11"/>
  <c r="C1876" i="11"/>
  <c r="D1876" i="11"/>
  <c r="F1876" i="11"/>
  <c r="E1876" i="11"/>
  <c r="C1877" i="11"/>
  <c r="D1877" i="11"/>
  <c r="F1877" i="11"/>
  <c r="E1877" i="11"/>
  <c r="C1878" i="11"/>
  <c r="D1878" i="11"/>
  <c r="F1878" i="11"/>
  <c r="E1878" i="11"/>
  <c r="C1879" i="11"/>
  <c r="D1879" i="11"/>
  <c r="F1879" i="11"/>
  <c r="E1879" i="11"/>
  <c r="C1880" i="11"/>
  <c r="D1880" i="11"/>
  <c r="F1880" i="11"/>
  <c r="E1880" i="11"/>
  <c r="C1868" i="11"/>
  <c r="D1868" i="11"/>
  <c r="F1868" i="11"/>
  <c r="E1868" i="11"/>
  <c r="C1869" i="11"/>
  <c r="D1869" i="11"/>
  <c r="F1869" i="11"/>
  <c r="E1869" i="11"/>
  <c r="C1870" i="11"/>
  <c r="D1870" i="11"/>
  <c r="F1870" i="11"/>
  <c r="E1870" i="11"/>
  <c r="C1871" i="11"/>
  <c r="D1871" i="11"/>
  <c r="F1871" i="11"/>
  <c r="E1871" i="11"/>
  <c r="C1872" i="11"/>
  <c r="D1872" i="11"/>
  <c r="F1872" i="11"/>
  <c r="E1872" i="11"/>
  <c r="C1873" i="11"/>
  <c r="D1873" i="11"/>
  <c r="F1873" i="11"/>
  <c r="E1873" i="11"/>
  <c r="C1874" i="11"/>
  <c r="D1874" i="11"/>
  <c r="F1874" i="11"/>
  <c r="E1874" i="11"/>
  <c r="C1860" i="11"/>
  <c r="D1860" i="11"/>
  <c r="F1860" i="11"/>
  <c r="E1860" i="11"/>
  <c r="C1861" i="11"/>
  <c r="D1861" i="11"/>
  <c r="E1861" i="11"/>
  <c r="F1861" i="11"/>
  <c r="C1862" i="11"/>
  <c r="D1862" i="11"/>
  <c r="F1862" i="11"/>
  <c r="E1862" i="11"/>
  <c r="C1863" i="11"/>
  <c r="D1863" i="11"/>
  <c r="F1863" i="11"/>
  <c r="E1863" i="11"/>
  <c r="C1864" i="11"/>
  <c r="D1864" i="11"/>
  <c r="F1864" i="11"/>
  <c r="E1864" i="11"/>
  <c r="C1865" i="11"/>
  <c r="D1865" i="11"/>
  <c r="F1865" i="11"/>
  <c r="E1865" i="11"/>
  <c r="C1866" i="11"/>
  <c r="D1866" i="11"/>
  <c r="F1866" i="11"/>
  <c r="E1866" i="11"/>
  <c r="C1867" i="11"/>
  <c r="D1867" i="11"/>
  <c r="F1867" i="11"/>
  <c r="E1867" i="11"/>
  <c r="C1854" i="11"/>
  <c r="D1854" i="11"/>
  <c r="F1854" i="11"/>
  <c r="E1854" i="11"/>
  <c r="C1855" i="11"/>
  <c r="D1855" i="11"/>
  <c r="E1855" i="11"/>
  <c r="F1855" i="11"/>
  <c r="C1856" i="11"/>
  <c r="D1856" i="11"/>
  <c r="F1856" i="11"/>
  <c r="E1856" i="11"/>
  <c r="C1857" i="11"/>
  <c r="D1857" i="11"/>
  <c r="F1857" i="11"/>
  <c r="E1857" i="11"/>
  <c r="C1858" i="11"/>
  <c r="D1858" i="11"/>
  <c r="F1858" i="11"/>
  <c r="E1858" i="11"/>
  <c r="C1859" i="11"/>
  <c r="D1859" i="11"/>
  <c r="F1859" i="11"/>
  <c r="E1859" i="11"/>
  <c r="C1846" i="11"/>
  <c r="D1846" i="11"/>
  <c r="F1846" i="11"/>
  <c r="E1846" i="11"/>
  <c r="C1847" i="11"/>
  <c r="D1847" i="11"/>
  <c r="F1847" i="11"/>
  <c r="E1847" i="11"/>
  <c r="C1848" i="11"/>
  <c r="D1848" i="11"/>
  <c r="F1848" i="11"/>
  <c r="E1848" i="11"/>
  <c r="C1849" i="11"/>
  <c r="D1849" i="11"/>
  <c r="F1849" i="11"/>
  <c r="E1849" i="11"/>
  <c r="C1850" i="11"/>
  <c r="D1850" i="11"/>
  <c r="F1850" i="11"/>
  <c r="E1850" i="11"/>
  <c r="C1851" i="11"/>
  <c r="D1851" i="11"/>
  <c r="F1851" i="11"/>
  <c r="E1851" i="11"/>
  <c r="C1852" i="11"/>
  <c r="D1852" i="11"/>
  <c r="F1852" i="11"/>
  <c r="E1852" i="11"/>
  <c r="C1853" i="11"/>
  <c r="D1853" i="11"/>
  <c r="F1853" i="11"/>
  <c r="E1853" i="11"/>
  <c r="C1839" i="11"/>
  <c r="D1839" i="11"/>
  <c r="F1839" i="11"/>
  <c r="E1839" i="11"/>
  <c r="C1840" i="11"/>
  <c r="D1840" i="11"/>
  <c r="F1840" i="11"/>
  <c r="E1840" i="11"/>
  <c r="C1841" i="11"/>
  <c r="D1841" i="11"/>
  <c r="E1841" i="11"/>
  <c r="F1841" i="11"/>
  <c r="C1842" i="11"/>
  <c r="D1842" i="11"/>
  <c r="F1842" i="11"/>
  <c r="E1842" i="11"/>
  <c r="C1843" i="11"/>
  <c r="D1843" i="11"/>
  <c r="F1843" i="11"/>
  <c r="E1843" i="11"/>
  <c r="C1844" i="11"/>
  <c r="D1844" i="11"/>
  <c r="F1844" i="11"/>
  <c r="E1844" i="11"/>
  <c r="C1845" i="11"/>
  <c r="D1845" i="11"/>
  <c r="F1845" i="11"/>
  <c r="E1845" i="11"/>
  <c r="C1833" i="11"/>
  <c r="D1833" i="11"/>
  <c r="F1833" i="11"/>
  <c r="E1833" i="11"/>
  <c r="C1834" i="11"/>
  <c r="D1834" i="11"/>
  <c r="F1834" i="11"/>
  <c r="E1834" i="11"/>
  <c r="C1835" i="11"/>
  <c r="D1835" i="11"/>
  <c r="E1835" i="11"/>
  <c r="F1835" i="11"/>
  <c r="C1836" i="11"/>
  <c r="D1836" i="11"/>
  <c r="F1836" i="11"/>
  <c r="E1836" i="11"/>
  <c r="C1837" i="11"/>
  <c r="D1837" i="11"/>
  <c r="F1837" i="11"/>
  <c r="E1837" i="11"/>
  <c r="C1838" i="11"/>
  <c r="D1838" i="11"/>
  <c r="F1838" i="11"/>
  <c r="E1838" i="11"/>
  <c r="C1831" i="11"/>
  <c r="D1831" i="11"/>
  <c r="F1831" i="11"/>
  <c r="E1831" i="11"/>
  <c r="C1832" i="11"/>
  <c r="D1832" i="11"/>
  <c r="F1832" i="11"/>
  <c r="E1832" i="11"/>
  <c r="C1825" i="11"/>
  <c r="D1825" i="11"/>
  <c r="F1825" i="11"/>
  <c r="E1825" i="11"/>
  <c r="C1826" i="11"/>
  <c r="D1826" i="11"/>
  <c r="F1826" i="11"/>
  <c r="E1826" i="11"/>
  <c r="C1827" i="11"/>
  <c r="D1827" i="11"/>
  <c r="F1827" i="11"/>
  <c r="E1827" i="11"/>
  <c r="C1828" i="11"/>
  <c r="D1828" i="11"/>
  <c r="F1828" i="11"/>
  <c r="E1828" i="11"/>
  <c r="C1829" i="11"/>
  <c r="D1829" i="11"/>
  <c r="F1829" i="11"/>
  <c r="E1829" i="11"/>
  <c r="C1830" i="11"/>
  <c r="D1830" i="11"/>
  <c r="F1830" i="11"/>
  <c r="E1830" i="11"/>
  <c r="C1818" i="11"/>
  <c r="D1818" i="11"/>
  <c r="F1818" i="11"/>
  <c r="E1818" i="11"/>
  <c r="C1819" i="11"/>
  <c r="D1819" i="11"/>
  <c r="F1819" i="11"/>
  <c r="E1819" i="11"/>
  <c r="C1820" i="11"/>
  <c r="D1820" i="11"/>
  <c r="F1820" i="11"/>
  <c r="E1820" i="11"/>
  <c r="C1821" i="11"/>
  <c r="D1821" i="11"/>
  <c r="F1821" i="11"/>
  <c r="E1821" i="11"/>
  <c r="C1822" i="11"/>
  <c r="D1822" i="11"/>
  <c r="E1822" i="11"/>
  <c r="F1822" i="11"/>
  <c r="C1823" i="11"/>
  <c r="D1823" i="11"/>
  <c r="F1823" i="11"/>
  <c r="E1823" i="11"/>
  <c r="C1824" i="11"/>
  <c r="D1824" i="11"/>
  <c r="F1824" i="11"/>
  <c r="E1824" i="11"/>
  <c r="C1814" i="11"/>
  <c r="D1814" i="11"/>
  <c r="E1814" i="11"/>
  <c r="F1814" i="11"/>
  <c r="C1815" i="11"/>
  <c r="D1815" i="11"/>
  <c r="E1815" i="11"/>
  <c r="F1815" i="11"/>
  <c r="C1816" i="11"/>
  <c r="D1816" i="11"/>
  <c r="E1816" i="11"/>
  <c r="F1816" i="11"/>
  <c r="C1817" i="11"/>
  <c r="D1817" i="11"/>
  <c r="F1817" i="11"/>
  <c r="E1817" i="11"/>
  <c r="C1806" i="11"/>
  <c r="D1806" i="11"/>
  <c r="F1806" i="11"/>
  <c r="E1806" i="11"/>
  <c r="C1807" i="11"/>
  <c r="D1807" i="11"/>
  <c r="F1807" i="11"/>
  <c r="E1807" i="11"/>
  <c r="C1808" i="11"/>
  <c r="D1808" i="11"/>
  <c r="F1808" i="11"/>
  <c r="E1808" i="11"/>
  <c r="C1809" i="11"/>
  <c r="D1809" i="11"/>
  <c r="F1809" i="11"/>
  <c r="E1809" i="11"/>
  <c r="C1810" i="11"/>
  <c r="D1810" i="11"/>
  <c r="F1810" i="11"/>
  <c r="E1810" i="11"/>
  <c r="C1811" i="11"/>
  <c r="D1811" i="11"/>
  <c r="E1811" i="11"/>
  <c r="F1811" i="11"/>
  <c r="C1812" i="11"/>
  <c r="D1812" i="11"/>
  <c r="F1812" i="11"/>
  <c r="E1812" i="11"/>
  <c r="C1813" i="11"/>
  <c r="D1813" i="11"/>
  <c r="F1813" i="11"/>
  <c r="E1813" i="11"/>
  <c r="C1798" i="11"/>
  <c r="D1798" i="11"/>
  <c r="F1798" i="11"/>
  <c r="E1798" i="11"/>
  <c r="C1799" i="11"/>
  <c r="D1799" i="11"/>
  <c r="F1799" i="11"/>
  <c r="E1799" i="11"/>
  <c r="C1800" i="11"/>
  <c r="D1800" i="11"/>
  <c r="F1800" i="11"/>
  <c r="E1800" i="11"/>
  <c r="C1801" i="11"/>
  <c r="D1801" i="11"/>
  <c r="F1801" i="11"/>
  <c r="E1801" i="11"/>
  <c r="C1802" i="11"/>
  <c r="D1802" i="11"/>
  <c r="F1802" i="11"/>
  <c r="E1802" i="11"/>
  <c r="C1803" i="11"/>
  <c r="D1803" i="11"/>
  <c r="F1803" i="11"/>
  <c r="E1803" i="11"/>
  <c r="C1804" i="11"/>
  <c r="D1804" i="11"/>
  <c r="F1804" i="11"/>
  <c r="E1804" i="11"/>
  <c r="C1805" i="11"/>
  <c r="D1805" i="11"/>
  <c r="F1805" i="11"/>
  <c r="E1805" i="11"/>
  <c r="C1797" i="11"/>
  <c r="D1797" i="11"/>
  <c r="F1797" i="11"/>
  <c r="E1797" i="11"/>
  <c r="C1790" i="11"/>
  <c r="D1790" i="11"/>
  <c r="F1790" i="11"/>
  <c r="E1790" i="11"/>
  <c r="C1791" i="11"/>
  <c r="D1791" i="11"/>
  <c r="F1791" i="11"/>
  <c r="E1791" i="11"/>
  <c r="C1792" i="11"/>
  <c r="D1792" i="11"/>
  <c r="F1792" i="11"/>
  <c r="E1792" i="11"/>
  <c r="C1793" i="11"/>
  <c r="D1793" i="11"/>
  <c r="F1793" i="11"/>
  <c r="E1793" i="11"/>
  <c r="C1794" i="11"/>
  <c r="D1794" i="11"/>
  <c r="F1794" i="11"/>
  <c r="E1794" i="11"/>
  <c r="C1795" i="11"/>
  <c r="D1795" i="11"/>
  <c r="E1795" i="11"/>
  <c r="F1795" i="11"/>
  <c r="C1796" i="11"/>
  <c r="D1796" i="11"/>
  <c r="F1796" i="11"/>
  <c r="E1796" i="11"/>
  <c r="C1783" i="11"/>
  <c r="D1783" i="11"/>
  <c r="E1783" i="11"/>
  <c r="F1783" i="11"/>
  <c r="C1784" i="11"/>
  <c r="D1784" i="11"/>
  <c r="E1784" i="11"/>
  <c r="F1784" i="11"/>
  <c r="C1785" i="11"/>
  <c r="D1785" i="11"/>
  <c r="F1785" i="11"/>
  <c r="E1785" i="11"/>
  <c r="C1786" i="11"/>
  <c r="D1786" i="11"/>
  <c r="F1786" i="11"/>
  <c r="E1786" i="11"/>
  <c r="C1787" i="11"/>
  <c r="D1787" i="11"/>
  <c r="F1787" i="11"/>
  <c r="E1787" i="11"/>
  <c r="C1788" i="11"/>
  <c r="D1788" i="11"/>
  <c r="F1788" i="11"/>
  <c r="E1788" i="11"/>
  <c r="C1789" i="11"/>
  <c r="D1789" i="11"/>
  <c r="E1789" i="11"/>
  <c r="F1789" i="11"/>
  <c r="C1776" i="11"/>
  <c r="D1776" i="11"/>
  <c r="F1776" i="11"/>
  <c r="E1776" i="11"/>
  <c r="C1777" i="11"/>
  <c r="D1777" i="11"/>
  <c r="F1777" i="11"/>
  <c r="E1777" i="11"/>
  <c r="C1778" i="11"/>
  <c r="D1778" i="11"/>
  <c r="F1778" i="11"/>
  <c r="E1778" i="11"/>
  <c r="C1779" i="11"/>
  <c r="D1779" i="11"/>
  <c r="E1779" i="11"/>
  <c r="F1779" i="11"/>
  <c r="C1780" i="11"/>
  <c r="D1780" i="11"/>
  <c r="F1780" i="11"/>
  <c r="E1780" i="11"/>
  <c r="C1781" i="11"/>
  <c r="D1781" i="11"/>
  <c r="E1781" i="11"/>
  <c r="F1781" i="11"/>
  <c r="C1782" i="11"/>
  <c r="D1782" i="11"/>
  <c r="F1782" i="11"/>
  <c r="E1782" i="11"/>
  <c r="C1770" i="11"/>
  <c r="D1770" i="11"/>
  <c r="F1770" i="11"/>
  <c r="E1770" i="11"/>
  <c r="C1771" i="11"/>
  <c r="D1771" i="11"/>
  <c r="F1771" i="11"/>
  <c r="E1771" i="11"/>
  <c r="C1772" i="11"/>
  <c r="D1772" i="11"/>
  <c r="F1772" i="11"/>
  <c r="E1772" i="11"/>
  <c r="C1773" i="11"/>
  <c r="D1773" i="11"/>
  <c r="F1773" i="11"/>
  <c r="E1773" i="11"/>
  <c r="C1774" i="11"/>
  <c r="D1774" i="11"/>
  <c r="F1774" i="11"/>
  <c r="E1774" i="11"/>
  <c r="C1775" i="11"/>
  <c r="D1775" i="11"/>
  <c r="F1775" i="11"/>
  <c r="E1775" i="11"/>
  <c r="C1762" i="11"/>
  <c r="D1762" i="11"/>
  <c r="F1762" i="11"/>
  <c r="E1762" i="11"/>
  <c r="C1763" i="11"/>
  <c r="D1763" i="11"/>
  <c r="F1763" i="11"/>
  <c r="E1763" i="11"/>
  <c r="C1764" i="11"/>
  <c r="D1764" i="11"/>
  <c r="F1764" i="11"/>
  <c r="E1764" i="11"/>
  <c r="C1765" i="11"/>
  <c r="D1765" i="11"/>
  <c r="F1765" i="11"/>
  <c r="E1765" i="11"/>
  <c r="C1766" i="11"/>
  <c r="D1766" i="11"/>
  <c r="F1766" i="11"/>
  <c r="E1766" i="11"/>
  <c r="C1767" i="11"/>
  <c r="D1767" i="11"/>
  <c r="F1767" i="11"/>
  <c r="E1767" i="11"/>
  <c r="C1768" i="11"/>
  <c r="D1768" i="11"/>
  <c r="E1768" i="11"/>
  <c r="F1768" i="11"/>
  <c r="C1769" i="11"/>
  <c r="D1769" i="11"/>
  <c r="E1769" i="11"/>
  <c r="F1769" i="11"/>
  <c r="C1755" i="11"/>
  <c r="D1755" i="11"/>
  <c r="E1755" i="11"/>
  <c r="F1755" i="11"/>
  <c r="C1756" i="11"/>
  <c r="D1756" i="11"/>
  <c r="E1756" i="11"/>
  <c r="F1756" i="11"/>
  <c r="C1757" i="11"/>
  <c r="D1757" i="11"/>
  <c r="E1757" i="11"/>
  <c r="F1757" i="11"/>
  <c r="C1758" i="11"/>
  <c r="D1758" i="11"/>
  <c r="F1758" i="11"/>
  <c r="E1758" i="11"/>
  <c r="C1759" i="11"/>
  <c r="D1759" i="11"/>
  <c r="F1759" i="11"/>
  <c r="E1759" i="11"/>
  <c r="C1760" i="11"/>
  <c r="D1760" i="11"/>
  <c r="F1760" i="11"/>
  <c r="E1760" i="11"/>
  <c r="C1761" i="11"/>
  <c r="D1761" i="11"/>
  <c r="F1761" i="11"/>
  <c r="E1761" i="11"/>
  <c r="C1748" i="11"/>
  <c r="D1748" i="11"/>
  <c r="E1748" i="11"/>
  <c r="F1748" i="11"/>
  <c r="C1749" i="11"/>
  <c r="D1749" i="11"/>
  <c r="F1749" i="11"/>
  <c r="E1749" i="11"/>
  <c r="C1750" i="11"/>
  <c r="D1750" i="11"/>
  <c r="F1750" i="11"/>
  <c r="E1750" i="11"/>
  <c r="C1751" i="11"/>
  <c r="D1751" i="11"/>
  <c r="F1751" i="11"/>
  <c r="E1751" i="11"/>
  <c r="C1752" i="11"/>
  <c r="D1752" i="11"/>
  <c r="F1752" i="11"/>
  <c r="E1752" i="11"/>
  <c r="C1753" i="11"/>
  <c r="D1753" i="11"/>
  <c r="F1753" i="11"/>
  <c r="E1753" i="11"/>
  <c r="C1754" i="11"/>
  <c r="D1754" i="11"/>
  <c r="E1754" i="11"/>
  <c r="F1754" i="11"/>
  <c r="C1734" i="11"/>
  <c r="D1734" i="11"/>
  <c r="F1734" i="11"/>
  <c r="E1734" i="11"/>
  <c r="C1735" i="11"/>
  <c r="D1735" i="11"/>
  <c r="F1735" i="11"/>
  <c r="E1735" i="11"/>
  <c r="C1736" i="11"/>
  <c r="D1736" i="11"/>
  <c r="F1736" i="11"/>
  <c r="E1736" i="11"/>
  <c r="C1737" i="11"/>
  <c r="D1737" i="11"/>
  <c r="F1737" i="11"/>
  <c r="E1737" i="11"/>
  <c r="C1738" i="11"/>
  <c r="D1738" i="11"/>
  <c r="F1738" i="11"/>
  <c r="E1738" i="11"/>
  <c r="C1739" i="11"/>
  <c r="D1739" i="11"/>
  <c r="E1739" i="11"/>
  <c r="F1739" i="11"/>
  <c r="C1740" i="11"/>
  <c r="D1740" i="11"/>
  <c r="E1740" i="11"/>
  <c r="F1740" i="11"/>
  <c r="C1741" i="11"/>
  <c r="D1741" i="11"/>
  <c r="E1741" i="11"/>
  <c r="F1741" i="11"/>
  <c r="C1742" i="11"/>
  <c r="D1742" i="11"/>
  <c r="F1742" i="11"/>
  <c r="E1742" i="11"/>
  <c r="C1743" i="11"/>
  <c r="D1743" i="11"/>
  <c r="F1743" i="11"/>
  <c r="E1743" i="11"/>
  <c r="C1744" i="11"/>
  <c r="D1744" i="11"/>
  <c r="F1744" i="11"/>
  <c r="E1744" i="11"/>
  <c r="C1745" i="11"/>
  <c r="D1745" i="11"/>
  <c r="F1745" i="11"/>
  <c r="E1745" i="11"/>
  <c r="C1746" i="11"/>
  <c r="D1746" i="11"/>
  <c r="F1746" i="11"/>
  <c r="E1746" i="11"/>
  <c r="C1747" i="11"/>
  <c r="D1747" i="11"/>
  <c r="F1747" i="11"/>
  <c r="E1747" i="11"/>
  <c r="C1732" i="11"/>
  <c r="D1732" i="11"/>
  <c r="F1732" i="11"/>
  <c r="E1732" i="11"/>
  <c r="C1733" i="11"/>
  <c r="D1733" i="11"/>
  <c r="F1733" i="11"/>
  <c r="E1733" i="11"/>
  <c r="C1728" i="11"/>
  <c r="D1728" i="11"/>
  <c r="E1728" i="11"/>
  <c r="F1728" i="11"/>
  <c r="C1729" i="11"/>
  <c r="D1729" i="11"/>
  <c r="F1729" i="11"/>
  <c r="E1729" i="11"/>
  <c r="C1730" i="11"/>
  <c r="D1730" i="11"/>
  <c r="F1730" i="11"/>
  <c r="E1730" i="11"/>
  <c r="C1731" i="11"/>
  <c r="D1731" i="11"/>
  <c r="F1731" i="11"/>
  <c r="E1731" i="11"/>
  <c r="C1726" i="11"/>
  <c r="D1726" i="11"/>
  <c r="E1726" i="11"/>
  <c r="F1726" i="11"/>
  <c r="C1727" i="11"/>
  <c r="D1727" i="11"/>
  <c r="F1727" i="11"/>
  <c r="E1727" i="11"/>
  <c r="C1725" i="11"/>
  <c r="D1724" i="11"/>
  <c r="E1724" i="11"/>
  <c r="F1724" i="11"/>
  <c r="D1725" i="11"/>
  <c r="F1725" i="11"/>
  <c r="E1725" i="11"/>
  <c r="C1724" i="11"/>
  <c r="C1718" i="11"/>
  <c r="C1719" i="11"/>
  <c r="C1720" i="11"/>
  <c r="C1721" i="11"/>
  <c r="C1722" i="11"/>
  <c r="C1723" i="11"/>
  <c r="C1717" i="11"/>
  <c r="F1723" i="11"/>
  <c r="E1723" i="11"/>
  <c r="D1723" i="11"/>
  <c r="F1722" i="11"/>
  <c r="E1722" i="11"/>
  <c r="D1722" i="11"/>
  <c r="F1721" i="11"/>
  <c r="E1721" i="11"/>
  <c r="D1721" i="11"/>
  <c r="F1720" i="11"/>
  <c r="D1720" i="11"/>
  <c r="E1720" i="11"/>
  <c r="F1719" i="11"/>
  <c r="E1719" i="11"/>
  <c r="D1719" i="11"/>
  <c r="F1718" i="11"/>
  <c r="E1718" i="11"/>
  <c r="D1718" i="11"/>
  <c r="F1717" i="11"/>
  <c r="E1717" i="11"/>
  <c r="D1717" i="11"/>
  <c r="C1716" i="11"/>
  <c r="D1716" i="11"/>
  <c r="F1716" i="11"/>
  <c r="E1716" i="11"/>
  <c r="C1715" i="11"/>
  <c r="D1715" i="11"/>
  <c r="E1715" i="11"/>
  <c r="F1715" i="11"/>
  <c r="C1714" i="11"/>
  <c r="D1714" i="11"/>
  <c r="E1714" i="11"/>
  <c r="F1714" i="11"/>
  <c r="C1713" i="11"/>
  <c r="D1713" i="11"/>
  <c r="E1713" i="11"/>
  <c r="F1713" i="11"/>
  <c r="C1709" i="11"/>
  <c r="D1709" i="11"/>
  <c r="F1709" i="11"/>
  <c r="E1709" i="11"/>
  <c r="C1711" i="11"/>
  <c r="D1711" i="11"/>
  <c r="E1711" i="11"/>
  <c r="F1711" i="11"/>
  <c r="C1712" i="11"/>
  <c r="D1712" i="11"/>
  <c r="F1712" i="11"/>
  <c r="E1712" i="11"/>
  <c r="C1707" i="11"/>
  <c r="D1707" i="11"/>
  <c r="F1707" i="11"/>
  <c r="E1707" i="11"/>
  <c r="C1708" i="11"/>
  <c r="D1708" i="11"/>
  <c r="F1708" i="11"/>
  <c r="E1708" i="11"/>
  <c r="C1706" i="11"/>
  <c r="D1706" i="11"/>
  <c r="E1706" i="11"/>
  <c r="F1706" i="11"/>
  <c r="C1703" i="11"/>
  <c r="D1703" i="11"/>
  <c r="E1703" i="11"/>
  <c r="F1703" i="11"/>
  <c r="C1704" i="11"/>
  <c r="D1704" i="11"/>
  <c r="F1704" i="11"/>
  <c r="E1704" i="11"/>
  <c r="C1705" i="11"/>
  <c r="D1705" i="11"/>
  <c r="F1705" i="11"/>
  <c r="E1705" i="11"/>
  <c r="C1702" i="11"/>
  <c r="D1702" i="11"/>
  <c r="E1702" i="11"/>
  <c r="F1702" i="11"/>
  <c r="C1701" i="11"/>
  <c r="D1701" i="11"/>
  <c r="E1701" i="11"/>
  <c r="F1701" i="11"/>
  <c r="C1700" i="11"/>
  <c r="D1700" i="11"/>
  <c r="E1700" i="11"/>
  <c r="F1700" i="11"/>
  <c r="C1699" i="11"/>
  <c r="D1699" i="11"/>
  <c r="E1699" i="11"/>
  <c r="F1699" i="11"/>
  <c r="C1696" i="11"/>
  <c r="D1696" i="11"/>
  <c r="E1696" i="11"/>
  <c r="F1696" i="11"/>
  <c r="C1697" i="11"/>
  <c r="D1697" i="11"/>
  <c r="F1697" i="11"/>
  <c r="E1697" i="11"/>
  <c r="C1698" i="11"/>
  <c r="D1698" i="11"/>
  <c r="E1698" i="11"/>
  <c r="F1698" i="11"/>
  <c r="C1695" i="11"/>
  <c r="D1695" i="11"/>
  <c r="F1695" i="11"/>
  <c r="E1695" i="11"/>
  <c r="C1694" i="11"/>
  <c r="D1694" i="11"/>
  <c r="F1694" i="11"/>
  <c r="E1694" i="11"/>
  <c r="C1693" i="11"/>
  <c r="D1693" i="11"/>
  <c r="E1693" i="11"/>
  <c r="F1693" i="11"/>
  <c r="C1692" i="11"/>
  <c r="D1692" i="11"/>
  <c r="F1692" i="11"/>
  <c r="E1692" i="11"/>
  <c r="C1689" i="11"/>
  <c r="D1689" i="11"/>
  <c r="E1689" i="11"/>
  <c r="F1689" i="11"/>
  <c r="C1690" i="11"/>
  <c r="D1690" i="11"/>
  <c r="E1690" i="11"/>
  <c r="F1690" i="11"/>
  <c r="C1691" i="11"/>
  <c r="D1691" i="11"/>
  <c r="F1691" i="11"/>
  <c r="E1691" i="11"/>
  <c r="C1688" i="11"/>
  <c r="D1688" i="11"/>
  <c r="F1688" i="11"/>
  <c r="E1688" i="11"/>
  <c r="C1687" i="11"/>
  <c r="D1687" i="11"/>
  <c r="F1687" i="11"/>
  <c r="E1687" i="11"/>
  <c r="BM13" i="2"/>
  <c r="J1656" i="11"/>
  <c r="J1657" i="11"/>
  <c r="J1658" i="11"/>
  <c r="J1659" i="11"/>
  <c r="J1660" i="11"/>
  <c r="J1661" i="11"/>
  <c r="J1663" i="11"/>
  <c r="J1664" i="11"/>
  <c r="J1665" i="11"/>
  <c r="J1666" i="11"/>
  <c r="J1667" i="11"/>
  <c r="J1668" i="11"/>
  <c r="J1670" i="11"/>
  <c r="J1671" i="11"/>
  <c r="J1672" i="11"/>
  <c r="J1673" i="11"/>
  <c r="J1674" i="11"/>
  <c r="J1675" i="11"/>
  <c r="J1677" i="11"/>
  <c r="J1678" i="11"/>
  <c r="J1679" i="11"/>
  <c r="I1676" i="11"/>
  <c r="I1669" i="11"/>
  <c r="J1669" i="11"/>
  <c r="I1662" i="11"/>
  <c r="J1662" i="11"/>
  <c r="I1655" i="11"/>
  <c r="J1654" i="11"/>
  <c r="J1653" i="11"/>
  <c r="J1652" i="11"/>
  <c r="J1651" i="11"/>
  <c r="J1650" i="11"/>
  <c r="H3" i="11"/>
  <c r="H4" i="11"/>
  <c r="C1686" i="11"/>
  <c r="D1686" i="11"/>
  <c r="F1686" i="11"/>
  <c r="E1686" i="11"/>
  <c r="C1685" i="11"/>
  <c r="D1685" i="11"/>
  <c r="F1685" i="11"/>
  <c r="E1685" i="11"/>
  <c r="C1682" i="11"/>
  <c r="D1682" i="11"/>
  <c r="F1682" i="11"/>
  <c r="E1682" i="11"/>
  <c r="C1683" i="11"/>
  <c r="D1683" i="11"/>
  <c r="F1683" i="11"/>
  <c r="E1683" i="11"/>
  <c r="C1684" i="11"/>
  <c r="D1684" i="11"/>
  <c r="E1684" i="11"/>
  <c r="F1684" i="11"/>
  <c r="C1681" i="11"/>
  <c r="D1681" i="11"/>
  <c r="F1681" i="11"/>
  <c r="E1681" i="11"/>
  <c r="C1680" i="11"/>
  <c r="D1680" i="11"/>
  <c r="E1680" i="11"/>
  <c r="F1680" i="11"/>
  <c r="C1679" i="11"/>
  <c r="D1679" i="11"/>
  <c r="F1679" i="11"/>
  <c r="E1679" i="11"/>
  <c r="C1678" i="11"/>
  <c r="D1678" i="11"/>
  <c r="F1678" i="11"/>
  <c r="E1678" i="11"/>
  <c r="C1675" i="11"/>
  <c r="D1675" i="11"/>
  <c r="F1675" i="11"/>
  <c r="E1675" i="11"/>
  <c r="C1676" i="11"/>
  <c r="D1676" i="11"/>
  <c r="F1676" i="11"/>
  <c r="E1676" i="11"/>
  <c r="C1677" i="11"/>
  <c r="D1677" i="11"/>
  <c r="F1677" i="11"/>
  <c r="E1677" i="11"/>
  <c r="C1674" i="11"/>
  <c r="D1674" i="11"/>
  <c r="F1674" i="11"/>
  <c r="E1674" i="11"/>
  <c r="C1673" i="11"/>
  <c r="D1673" i="11"/>
  <c r="F1673" i="11"/>
  <c r="E1673" i="11"/>
  <c r="C1672" i="11"/>
  <c r="D1672" i="11"/>
  <c r="F1672" i="11"/>
  <c r="E1672" i="11"/>
  <c r="C1671" i="11"/>
  <c r="D1671" i="11"/>
  <c r="F1671" i="11"/>
  <c r="E1671" i="11"/>
  <c r="C1668" i="11"/>
  <c r="D1668" i="11"/>
  <c r="F1668" i="11"/>
  <c r="E1668" i="11"/>
  <c r="C1669" i="11"/>
  <c r="D1669" i="11"/>
  <c r="F1669" i="11"/>
  <c r="E1669" i="11"/>
  <c r="C1670" i="11"/>
  <c r="D1670" i="11"/>
  <c r="F1670" i="11"/>
  <c r="E1670" i="11"/>
  <c r="C1667" i="11"/>
  <c r="D1667" i="11"/>
  <c r="F1667" i="11"/>
  <c r="E1667" i="11"/>
  <c r="C1666" i="11"/>
  <c r="D1666" i="11"/>
  <c r="F1666" i="11"/>
  <c r="E1666" i="11"/>
  <c r="C1665" i="11"/>
  <c r="D1665" i="11"/>
  <c r="F1665" i="11"/>
  <c r="E1665" i="11"/>
  <c r="C1664" i="11"/>
  <c r="D1664" i="11"/>
  <c r="F1664" i="11"/>
  <c r="E1664" i="11"/>
  <c r="C1661" i="11"/>
  <c r="D1661" i="11"/>
  <c r="F1661" i="11"/>
  <c r="E1661" i="11"/>
  <c r="C1662" i="11"/>
  <c r="D1662" i="11"/>
  <c r="F1662" i="11"/>
  <c r="E1662" i="11"/>
  <c r="C1663" i="11"/>
  <c r="D1663" i="11"/>
  <c r="E1663" i="11"/>
  <c r="F1663" i="11"/>
  <c r="C1660" i="11"/>
  <c r="D1660" i="11"/>
  <c r="F1660" i="11"/>
  <c r="E1660" i="11"/>
  <c r="C1659" i="11"/>
  <c r="D1659" i="11"/>
  <c r="F1659" i="11"/>
  <c r="E1659" i="11"/>
  <c r="C1658" i="11"/>
  <c r="D1658" i="11"/>
  <c r="F1658" i="11"/>
  <c r="E1658" i="11"/>
  <c r="C1657" i="11"/>
  <c r="D1657" i="11"/>
  <c r="F1657" i="11"/>
  <c r="E1657" i="11"/>
  <c r="C1656" i="11"/>
  <c r="D1656" i="11"/>
  <c r="E1656" i="11"/>
  <c r="E1650" i="11"/>
  <c r="E1651" i="11"/>
  <c r="E1652" i="11"/>
  <c r="E1653" i="11"/>
  <c r="E1654" i="11"/>
  <c r="E1655" i="11"/>
  <c r="F1656" i="11"/>
  <c r="J1649" i="11"/>
  <c r="I1648" i="11"/>
  <c r="J1648" i="11"/>
  <c r="J1621" i="11"/>
  <c r="J1622" i="11"/>
  <c r="J1623" i="11"/>
  <c r="J1624" i="11"/>
  <c r="J1625" i="11"/>
  <c r="J1626" i="11"/>
  <c r="J1628" i="11"/>
  <c r="J1629" i="11"/>
  <c r="J1630" i="11"/>
  <c r="J1631" i="11"/>
  <c r="J1632" i="11"/>
  <c r="J1633" i="11"/>
  <c r="J1634" i="11"/>
  <c r="J1635" i="11"/>
  <c r="J1636" i="11"/>
  <c r="J1637" i="11"/>
  <c r="C1637" i="11"/>
  <c r="D1637" i="11"/>
  <c r="F1637" i="11"/>
  <c r="E1637" i="11"/>
  <c r="J1638" i="11"/>
  <c r="J1639" i="11"/>
  <c r="J1640" i="11"/>
  <c r="J1642" i="11"/>
  <c r="J1643" i="11"/>
  <c r="J1644" i="11"/>
  <c r="J1645" i="11"/>
  <c r="J1646" i="11"/>
  <c r="J1647" i="11"/>
  <c r="I1641" i="11"/>
  <c r="J1641" i="11"/>
  <c r="I1627" i="11"/>
  <c r="J1627" i="11"/>
  <c r="C1627" i="11"/>
  <c r="D1627" i="11"/>
  <c r="F1627" i="11"/>
  <c r="E1627" i="11"/>
  <c r="I1620" i="11"/>
  <c r="J1620" i="11"/>
  <c r="J1619" i="11"/>
  <c r="C1651" i="11"/>
  <c r="D1651" i="11"/>
  <c r="F1651" i="11"/>
  <c r="C1652" i="11"/>
  <c r="D1652" i="11"/>
  <c r="F1652" i="11"/>
  <c r="C1653" i="11"/>
  <c r="D1653" i="11"/>
  <c r="F1653" i="11"/>
  <c r="C1654" i="11"/>
  <c r="D1654" i="11"/>
  <c r="F1654" i="11"/>
  <c r="C1655" i="11"/>
  <c r="D1655" i="11"/>
  <c r="F1655" i="11"/>
  <c r="C1650" i="11"/>
  <c r="D1650" i="11"/>
  <c r="F1650" i="11"/>
  <c r="C1647" i="11"/>
  <c r="D1647" i="11"/>
  <c r="F1647" i="11"/>
  <c r="E1647" i="11"/>
  <c r="C1648" i="11"/>
  <c r="D1648" i="11"/>
  <c r="F1648" i="11"/>
  <c r="E1648" i="11"/>
  <c r="C1649" i="11"/>
  <c r="D1649" i="11"/>
  <c r="F1649" i="11"/>
  <c r="E1649" i="11"/>
  <c r="C1646" i="11"/>
  <c r="D1646" i="11"/>
  <c r="F1646" i="11"/>
  <c r="E1646" i="11"/>
  <c r="C1645" i="11"/>
  <c r="D1645" i="11"/>
  <c r="F1645" i="11"/>
  <c r="E1645" i="11"/>
  <c r="C1644" i="11"/>
  <c r="D1644" i="11"/>
  <c r="F1644" i="11"/>
  <c r="E1644" i="11"/>
  <c r="C1643" i="11"/>
  <c r="D1643" i="11"/>
  <c r="F1643" i="11"/>
  <c r="E1643" i="11"/>
  <c r="C1640" i="11"/>
  <c r="D1640" i="11"/>
  <c r="F1640" i="11"/>
  <c r="E1640" i="11"/>
  <c r="C1641" i="11"/>
  <c r="D1641" i="11"/>
  <c r="F1641" i="11"/>
  <c r="E1641" i="11"/>
  <c r="C1642" i="11"/>
  <c r="D1642" i="11"/>
  <c r="F1642" i="11"/>
  <c r="E1642" i="11"/>
  <c r="C1639" i="11"/>
  <c r="D1639" i="11"/>
  <c r="F1639" i="11"/>
  <c r="E1639" i="11"/>
  <c r="C1638" i="11"/>
  <c r="D1638" i="11"/>
  <c r="F1638" i="11"/>
  <c r="E1638" i="11"/>
  <c r="C1636" i="11"/>
  <c r="D1636" i="11"/>
  <c r="F1636" i="11"/>
  <c r="E1636" i="11"/>
  <c r="C1633" i="11"/>
  <c r="D1633" i="11"/>
  <c r="F1633" i="11"/>
  <c r="E1633" i="11"/>
  <c r="C1634" i="11"/>
  <c r="D1634" i="11"/>
  <c r="F1634" i="11"/>
  <c r="E1634" i="11"/>
  <c r="C1635" i="11"/>
  <c r="D1635" i="11"/>
  <c r="F1635" i="11"/>
  <c r="E1635" i="11"/>
  <c r="C1632" i="11"/>
  <c r="D1632" i="11"/>
  <c r="F1632" i="11"/>
  <c r="E1632" i="11"/>
  <c r="C1631" i="11"/>
  <c r="D1631" i="11"/>
  <c r="F1631" i="11"/>
  <c r="E1631" i="11"/>
  <c r="C1630" i="11"/>
  <c r="D1630" i="11"/>
  <c r="F1630" i="11"/>
  <c r="E1630" i="11"/>
  <c r="C1626" i="11"/>
  <c r="D1626" i="11"/>
  <c r="F1626" i="11"/>
  <c r="E1626" i="11"/>
  <c r="C1628" i="11"/>
  <c r="D1628" i="11"/>
  <c r="F1628" i="11"/>
  <c r="E1628" i="11"/>
  <c r="C1629" i="11"/>
  <c r="D1629" i="11"/>
  <c r="F1629" i="11"/>
  <c r="E1629" i="11"/>
  <c r="C1625" i="11"/>
  <c r="D1625" i="11"/>
  <c r="F1625" i="11"/>
  <c r="E1625" i="11"/>
  <c r="J1589" i="11"/>
  <c r="J1590" i="11"/>
  <c r="J1591" i="11"/>
  <c r="J1593" i="11"/>
  <c r="J1594" i="11"/>
  <c r="J1595" i="11"/>
  <c r="J1596" i="11"/>
  <c r="J1597" i="11"/>
  <c r="J1598" i="11"/>
  <c r="J1600" i="11"/>
  <c r="J1601" i="11"/>
  <c r="J1602" i="11"/>
  <c r="J1603" i="11"/>
  <c r="C1603" i="11"/>
  <c r="D1603" i="11"/>
  <c r="F1603" i="11"/>
  <c r="E1603" i="11"/>
  <c r="J1604" i="11"/>
  <c r="J1605" i="11"/>
  <c r="J1607" i="11"/>
  <c r="J1608" i="11"/>
  <c r="J1609" i="11"/>
  <c r="J1610" i="11"/>
  <c r="J1611" i="11"/>
  <c r="J1612" i="11"/>
  <c r="J1614" i="11"/>
  <c r="J1615" i="11"/>
  <c r="J1616" i="11"/>
  <c r="J1617" i="11"/>
  <c r="J1618" i="11"/>
  <c r="I1613" i="11"/>
  <c r="J1613" i="11"/>
  <c r="I1606" i="11"/>
  <c r="J1606" i="11"/>
  <c r="I1599" i="11"/>
  <c r="J1599" i="11"/>
  <c r="I1592" i="11"/>
  <c r="J1592" i="11"/>
  <c r="C1624" i="11"/>
  <c r="D1624" i="11"/>
  <c r="E1624" i="11"/>
  <c r="F1624" i="11"/>
  <c r="C1623" i="11"/>
  <c r="D1623" i="11"/>
  <c r="E1623" i="11"/>
  <c r="F1623" i="11"/>
  <c r="C1622" i="11"/>
  <c r="D1622" i="11"/>
  <c r="F1622" i="11"/>
  <c r="E1622" i="11"/>
  <c r="C1619" i="11"/>
  <c r="D1619" i="11"/>
  <c r="E1619" i="11"/>
  <c r="F1619" i="11"/>
  <c r="C1620" i="11"/>
  <c r="D1620" i="11"/>
  <c r="E1620" i="11"/>
  <c r="F1620" i="11"/>
  <c r="C1621" i="11"/>
  <c r="D1621" i="11"/>
  <c r="F1621" i="11"/>
  <c r="E1621" i="11"/>
  <c r="C1618" i="11"/>
  <c r="D1618" i="11"/>
  <c r="E1618" i="11"/>
  <c r="F1618" i="11"/>
  <c r="AA1614" i="11"/>
  <c r="AA1615" i="11"/>
  <c r="AA1616" i="11"/>
  <c r="AA1617" i="11"/>
  <c r="AA1618" i="11"/>
  <c r="C1617" i="11"/>
  <c r="D1617" i="11"/>
  <c r="F1617" i="11"/>
  <c r="E1617" i="11"/>
  <c r="C1616" i="11"/>
  <c r="D1616" i="11"/>
  <c r="F1616" i="11"/>
  <c r="E1616" i="11"/>
  <c r="C1615" i="11"/>
  <c r="D1615" i="11"/>
  <c r="F1615" i="11"/>
  <c r="E1615" i="11"/>
  <c r="C1614" i="11"/>
  <c r="D1614" i="11"/>
  <c r="E1614" i="11"/>
  <c r="F1614" i="11"/>
  <c r="C1609" i="11"/>
  <c r="D1609" i="11"/>
  <c r="F1609" i="11"/>
  <c r="E1609" i="11"/>
  <c r="C1610" i="11"/>
  <c r="D1610" i="11"/>
  <c r="E1610" i="11"/>
  <c r="F1610" i="11"/>
  <c r="C1611" i="11"/>
  <c r="D1611" i="11"/>
  <c r="E1611" i="11"/>
  <c r="F1611" i="11"/>
  <c r="C1612" i="11"/>
  <c r="D1612" i="11"/>
  <c r="E1612" i="11"/>
  <c r="F1612" i="11"/>
  <c r="C1613" i="11"/>
  <c r="D1613" i="11"/>
  <c r="E1613" i="11"/>
  <c r="F1613" i="11"/>
  <c r="C1608" i="11"/>
  <c r="D1608" i="11"/>
  <c r="E1608" i="11"/>
  <c r="F1608" i="11"/>
  <c r="C1604" i="11"/>
  <c r="D1604" i="11"/>
  <c r="E1604" i="11"/>
  <c r="F1604" i="11"/>
  <c r="C1605" i="11"/>
  <c r="D1605" i="11"/>
  <c r="E1605" i="11"/>
  <c r="F1605" i="11"/>
  <c r="C1606" i="11"/>
  <c r="D1606" i="11"/>
  <c r="E1606" i="11"/>
  <c r="F1606" i="11"/>
  <c r="C1607" i="11"/>
  <c r="D1607" i="11"/>
  <c r="E1607" i="11"/>
  <c r="F1607" i="11"/>
  <c r="C1602" i="11"/>
  <c r="D1602" i="11"/>
  <c r="E1602" i="11"/>
  <c r="F1602" i="11"/>
  <c r="C1601" i="11"/>
  <c r="D1601" i="11"/>
  <c r="E1601" i="11"/>
  <c r="F1601" i="11"/>
  <c r="C1599" i="11"/>
  <c r="D1599" i="11"/>
  <c r="E1599" i="11"/>
  <c r="F1599" i="11"/>
  <c r="C1600" i="11"/>
  <c r="D1600" i="11"/>
  <c r="E1600" i="11"/>
  <c r="F1600" i="11"/>
  <c r="C1598" i="11"/>
  <c r="D1598" i="11"/>
  <c r="E1598" i="11"/>
  <c r="F1598" i="11"/>
  <c r="C1597" i="11"/>
  <c r="D1597" i="11"/>
  <c r="E1597" i="11"/>
  <c r="F1597" i="11"/>
  <c r="C1596" i="11"/>
  <c r="D1596" i="11"/>
  <c r="E1596" i="11"/>
  <c r="F1596" i="11"/>
  <c r="C1595" i="11"/>
  <c r="D1595" i="11"/>
  <c r="F1595" i="11"/>
  <c r="E1595" i="11"/>
  <c r="C1594" i="11"/>
  <c r="D1594" i="11"/>
  <c r="F1594" i="11"/>
  <c r="E1594" i="11"/>
  <c r="C1591" i="11"/>
  <c r="D1591" i="11"/>
  <c r="F1591" i="11"/>
  <c r="E1591" i="11"/>
  <c r="C1592" i="11"/>
  <c r="D1592" i="11"/>
  <c r="F1592" i="11"/>
  <c r="E1592" i="11"/>
  <c r="C1593" i="11"/>
  <c r="D1593" i="11"/>
  <c r="F1593" i="11"/>
  <c r="E1593" i="11"/>
  <c r="C1590" i="11"/>
  <c r="D1590" i="11"/>
  <c r="F1590" i="11"/>
  <c r="E1590" i="11"/>
  <c r="J1558" i="11"/>
  <c r="J1559" i="11"/>
  <c r="J1560" i="11"/>
  <c r="J1561" i="11"/>
  <c r="J1562" i="11"/>
  <c r="J1563" i="11"/>
  <c r="J1565" i="11"/>
  <c r="J1566" i="11"/>
  <c r="J1567" i="11"/>
  <c r="J1568" i="11"/>
  <c r="J1569" i="11"/>
  <c r="J1570" i="11"/>
  <c r="J1572" i="11"/>
  <c r="J1573" i="11"/>
  <c r="J1574" i="11"/>
  <c r="J1575" i="11"/>
  <c r="J1576" i="11"/>
  <c r="J1577" i="11"/>
  <c r="C1577" i="11"/>
  <c r="D1577" i="11"/>
  <c r="F1577" i="11"/>
  <c r="E1577" i="11"/>
  <c r="J1579" i="11"/>
  <c r="J1580" i="11"/>
  <c r="J1581" i="11"/>
  <c r="J1582" i="11"/>
  <c r="C1582" i="11"/>
  <c r="D1582" i="11"/>
  <c r="F1582" i="11"/>
  <c r="E1582" i="11"/>
  <c r="J1583" i="11"/>
  <c r="J1584" i="11"/>
  <c r="J1586" i="11"/>
  <c r="J1587" i="11"/>
  <c r="J1588" i="11"/>
  <c r="I1585" i="11"/>
  <c r="J1585" i="11"/>
  <c r="C1585" i="11"/>
  <c r="D1585" i="11"/>
  <c r="F1585" i="11"/>
  <c r="E1585" i="11"/>
  <c r="I1578" i="11"/>
  <c r="J1578" i="11"/>
  <c r="I1571" i="11"/>
  <c r="J1571" i="11"/>
  <c r="I1564" i="11"/>
  <c r="J1564" i="11"/>
  <c r="C1589" i="11"/>
  <c r="D1589" i="11"/>
  <c r="F1589" i="11"/>
  <c r="E1589" i="11"/>
  <c r="C1588" i="11"/>
  <c r="D1588" i="11"/>
  <c r="F1588" i="11"/>
  <c r="E1588" i="11"/>
  <c r="C1587" i="11"/>
  <c r="D1587" i="11"/>
  <c r="F1587" i="11"/>
  <c r="E1587" i="11"/>
  <c r="C1584" i="11"/>
  <c r="D1584" i="11"/>
  <c r="F1584" i="11"/>
  <c r="E1584" i="11"/>
  <c r="C1586" i="11"/>
  <c r="D1586" i="11"/>
  <c r="F1586" i="11"/>
  <c r="E1586" i="11"/>
  <c r="C1583" i="11"/>
  <c r="D1583" i="11"/>
  <c r="F1583" i="11"/>
  <c r="E1583" i="11"/>
  <c r="C1581" i="11"/>
  <c r="D1581" i="11"/>
  <c r="F1581" i="11"/>
  <c r="E1581" i="11"/>
  <c r="C1580" i="11"/>
  <c r="D1580" i="11"/>
  <c r="F1580" i="11"/>
  <c r="E1580" i="11"/>
  <c r="C1578" i="11"/>
  <c r="D1578" i="11"/>
  <c r="F1578" i="11"/>
  <c r="E1578" i="11"/>
  <c r="C1579" i="11"/>
  <c r="D1579" i="11"/>
  <c r="F1579" i="11"/>
  <c r="E1579" i="11"/>
  <c r="C1576" i="11"/>
  <c r="D1576" i="11"/>
  <c r="E1576" i="11"/>
  <c r="F1576" i="11"/>
  <c r="C1574" i="11"/>
  <c r="D1574" i="11"/>
  <c r="F1574" i="11"/>
  <c r="E1574" i="11"/>
  <c r="C1575" i="11"/>
  <c r="D1575" i="11"/>
  <c r="E1575" i="11"/>
  <c r="F1575" i="11"/>
  <c r="C1570" i="11"/>
  <c r="D1570" i="11"/>
  <c r="F1570" i="11"/>
  <c r="E1570" i="11"/>
  <c r="C1571" i="11"/>
  <c r="D1571" i="11"/>
  <c r="E1571" i="11"/>
  <c r="F1571" i="11"/>
  <c r="C1572" i="11"/>
  <c r="D1572" i="11"/>
  <c r="E1572" i="11"/>
  <c r="F1572" i="11"/>
  <c r="C1573" i="11"/>
  <c r="D1573" i="11"/>
  <c r="E1573" i="11"/>
  <c r="F1573" i="11"/>
  <c r="C1569" i="11"/>
  <c r="D1569" i="11"/>
  <c r="F1569" i="11"/>
  <c r="E1569" i="11"/>
  <c r="C1568" i="11"/>
  <c r="D1568" i="11"/>
  <c r="F1568" i="11"/>
  <c r="E1568" i="11"/>
  <c r="C1567" i="11"/>
  <c r="D1567" i="11"/>
  <c r="E1567" i="11"/>
  <c r="F1567" i="11"/>
  <c r="C1563" i="11"/>
  <c r="D1563" i="11"/>
  <c r="E1563" i="11"/>
  <c r="F1563" i="11"/>
  <c r="C1564" i="11"/>
  <c r="D1564" i="11"/>
  <c r="E1564" i="11"/>
  <c r="F1564" i="11"/>
  <c r="C1565" i="11"/>
  <c r="D1565" i="11"/>
  <c r="E1565" i="11"/>
  <c r="F1565" i="11"/>
  <c r="C1566" i="11"/>
  <c r="D1566" i="11"/>
  <c r="E1566" i="11"/>
  <c r="F1566" i="11"/>
  <c r="E1538" i="11"/>
  <c r="E1539" i="11"/>
  <c r="E1540" i="11"/>
  <c r="E1541" i="11"/>
  <c r="E1542" i="11"/>
  <c r="E1543" i="11"/>
  <c r="E1544" i="11"/>
  <c r="E1545" i="11"/>
  <c r="E1546" i="11"/>
  <c r="C1546" i="11"/>
  <c r="D1546" i="11"/>
  <c r="F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J1530" i="11"/>
  <c r="J1531" i="11"/>
  <c r="J1532" i="11"/>
  <c r="J1533" i="11"/>
  <c r="J1534" i="11"/>
  <c r="J1535" i="11"/>
  <c r="J1537" i="11"/>
  <c r="J1538" i="11"/>
  <c r="J1539" i="11"/>
  <c r="J1540" i="11"/>
  <c r="J1541" i="11"/>
  <c r="J1542" i="11"/>
  <c r="J1544" i="11"/>
  <c r="J1545" i="11"/>
  <c r="J1546" i="11"/>
  <c r="J1547" i="11"/>
  <c r="J1548" i="11"/>
  <c r="J1549" i="11"/>
  <c r="J1551" i="11"/>
  <c r="J1552" i="11"/>
  <c r="J1553" i="11"/>
  <c r="J1554" i="11"/>
  <c r="J1555" i="11"/>
  <c r="J1556" i="11"/>
  <c r="I1557" i="11"/>
  <c r="J1557" i="11"/>
  <c r="C1557" i="11"/>
  <c r="D1557" i="11"/>
  <c r="F1557" i="11"/>
  <c r="I1550" i="11"/>
  <c r="J1550" i="11"/>
  <c r="I1543" i="11"/>
  <c r="J1543" i="11"/>
  <c r="I1536" i="11"/>
  <c r="J1536" i="11"/>
  <c r="I1529" i="11"/>
  <c r="J1529" i="11"/>
  <c r="C1529" i="11"/>
  <c r="D1529" i="11"/>
  <c r="F1529" i="11"/>
  <c r="E1529" i="11"/>
  <c r="J1528" i="11"/>
  <c r="C1528" i="11"/>
  <c r="D1528" i="11"/>
  <c r="F1528" i="11"/>
  <c r="E1528" i="11"/>
  <c r="J1527" i="11"/>
  <c r="C1562" i="11"/>
  <c r="D1562" i="11"/>
  <c r="F1562" i="11"/>
  <c r="E1562" i="11"/>
  <c r="C1561" i="11"/>
  <c r="D1561" i="11"/>
  <c r="E1561" i="11"/>
  <c r="F1561" i="11"/>
  <c r="C1560" i="11"/>
  <c r="D1560" i="11"/>
  <c r="E1560" i="11"/>
  <c r="F1560" i="11"/>
  <c r="C1559" i="11"/>
  <c r="D1559" i="11"/>
  <c r="E1559" i="11"/>
  <c r="F1559" i="11"/>
  <c r="C1556" i="11"/>
  <c r="D1556" i="11"/>
  <c r="F1556" i="11"/>
  <c r="C1558" i="11"/>
  <c r="D1558" i="11"/>
  <c r="E1558" i="11"/>
  <c r="F1558" i="11"/>
  <c r="C1555" i="11"/>
  <c r="D1555" i="11"/>
  <c r="F1555" i="11"/>
  <c r="C1554" i="11"/>
  <c r="D1554" i="11"/>
  <c r="F1554" i="11"/>
  <c r="C1553" i="11"/>
  <c r="D1553" i="11"/>
  <c r="F1553" i="11"/>
  <c r="C1552" i="11"/>
  <c r="D1552" i="11"/>
  <c r="F1552" i="11"/>
  <c r="C1549" i="11"/>
  <c r="D1549" i="11"/>
  <c r="F1549" i="11"/>
  <c r="C1550" i="11"/>
  <c r="D1550" i="11"/>
  <c r="F1550" i="11"/>
  <c r="C1551" i="11"/>
  <c r="D1551" i="11"/>
  <c r="F1551" i="11"/>
  <c r="C1548" i="11"/>
  <c r="D1548" i="11"/>
  <c r="F1548" i="11"/>
  <c r="C1547" i="11"/>
  <c r="D1547" i="11"/>
  <c r="F1547" i="11"/>
  <c r="C1545" i="11"/>
  <c r="D1545" i="11"/>
  <c r="F1545" i="11"/>
  <c r="C1542" i="11"/>
  <c r="D1542" i="11"/>
  <c r="F1542" i="11"/>
  <c r="C1543" i="11"/>
  <c r="D1543" i="11"/>
  <c r="F1543" i="11"/>
  <c r="C1544" i="11"/>
  <c r="D1544" i="11"/>
  <c r="F1544" i="11"/>
  <c r="C1541" i="11"/>
  <c r="D1541" i="11"/>
  <c r="F1541" i="11"/>
  <c r="E1531" i="11"/>
  <c r="C1531" i="11"/>
  <c r="D1531" i="11"/>
  <c r="F1531" i="11"/>
  <c r="E1532" i="11"/>
  <c r="C1532" i="11"/>
  <c r="D1532" i="11"/>
  <c r="F1532" i="11"/>
  <c r="E1533" i="11"/>
  <c r="E1534" i="11"/>
  <c r="E1535" i="11"/>
  <c r="E1536" i="11"/>
  <c r="E1537" i="11"/>
  <c r="C1540" i="11"/>
  <c r="D1540" i="11"/>
  <c r="F1540" i="11"/>
  <c r="C1539" i="11"/>
  <c r="D1539" i="11"/>
  <c r="F1539" i="11"/>
  <c r="C1538" i="11"/>
  <c r="D1538" i="11"/>
  <c r="F1538" i="11"/>
  <c r="C1535" i="11"/>
  <c r="D1535" i="11"/>
  <c r="F1535" i="11"/>
  <c r="C1536" i="11"/>
  <c r="D1536" i="11"/>
  <c r="F1536" i="11"/>
  <c r="C1537" i="11"/>
  <c r="D1537" i="11"/>
  <c r="F1537" i="11"/>
  <c r="C1534" i="11"/>
  <c r="D1534" i="11"/>
  <c r="F1534" i="11"/>
  <c r="C1533" i="11"/>
  <c r="D1533" i="11"/>
  <c r="F1533" i="11"/>
  <c r="BH12" i="2"/>
  <c r="I1522" i="11"/>
  <c r="J1522" i="11"/>
  <c r="I1515" i="11"/>
  <c r="J1515" i="11"/>
  <c r="I1508" i="11"/>
  <c r="J1508" i="11"/>
  <c r="I1501" i="11"/>
  <c r="J1501" i="11"/>
  <c r="J1496" i="11"/>
  <c r="J1497" i="11"/>
  <c r="J1498" i="11"/>
  <c r="J1499" i="11"/>
  <c r="J1500" i="11"/>
  <c r="J1502" i="11"/>
  <c r="J1503" i="11"/>
  <c r="J1504" i="11"/>
  <c r="J1505" i="11"/>
  <c r="J1506" i="11"/>
  <c r="J1507" i="11"/>
  <c r="J1509" i="11"/>
  <c r="J1510" i="11"/>
  <c r="J1511" i="11"/>
  <c r="J1512" i="11"/>
  <c r="J1513" i="11"/>
  <c r="J1514" i="11"/>
  <c r="J1516" i="11"/>
  <c r="J1517" i="11"/>
  <c r="J1518" i="11"/>
  <c r="J1519" i="11"/>
  <c r="J1520" i="11"/>
  <c r="J1521" i="11"/>
  <c r="J1523" i="11"/>
  <c r="J1524" i="11"/>
  <c r="J1525" i="11"/>
  <c r="J1526" i="11"/>
  <c r="C1530" i="11"/>
  <c r="D1530" i="11"/>
  <c r="F1530" i="11"/>
  <c r="E1530" i="11"/>
  <c r="C1527" i="11"/>
  <c r="D1527" i="11"/>
  <c r="E1527" i="11"/>
  <c r="F1527" i="11"/>
  <c r="C1526" i="11"/>
  <c r="D1526" i="11"/>
  <c r="E1526" i="11"/>
  <c r="F1526" i="11"/>
  <c r="C1525" i="11"/>
  <c r="D1525" i="11"/>
  <c r="E1525" i="11"/>
  <c r="F1525" i="11"/>
  <c r="C1524" i="11"/>
  <c r="D1524" i="11"/>
  <c r="E1524" i="11"/>
  <c r="F1524" i="11"/>
  <c r="C1521" i="11"/>
  <c r="D1521" i="11"/>
  <c r="E1521" i="11"/>
  <c r="F1521" i="11"/>
  <c r="C1522" i="11"/>
  <c r="D1522" i="11"/>
  <c r="E1522" i="11"/>
  <c r="F1522" i="11"/>
  <c r="C1523" i="11"/>
  <c r="D1523" i="11"/>
  <c r="E1523" i="11"/>
  <c r="F1523" i="11"/>
  <c r="C1520" i="11"/>
  <c r="D1520" i="11"/>
  <c r="F1520" i="11"/>
  <c r="E1520" i="11"/>
  <c r="C1519" i="11"/>
  <c r="D1519" i="11"/>
  <c r="F1519" i="11"/>
  <c r="E1519" i="11"/>
  <c r="C1518" i="11"/>
  <c r="D1518" i="11"/>
  <c r="F1518" i="11"/>
  <c r="E1518" i="11"/>
  <c r="C1517" i="11"/>
  <c r="D1517" i="11"/>
  <c r="F1517" i="11"/>
  <c r="E1517" i="11"/>
  <c r="C1514" i="11"/>
  <c r="D1514" i="11"/>
  <c r="F1514" i="11"/>
  <c r="E1514" i="11"/>
  <c r="C1515" i="11"/>
  <c r="D1515" i="11"/>
  <c r="F1515" i="11"/>
  <c r="E1515" i="11"/>
  <c r="C1516" i="11"/>
  <c r="D1516" i="11"/>
  <c r="F1516" i="11"/>
  <c r="E1516" i="11"/>
  <c r="C1513" i="11"/>
  <c r="D1513" i="11"/>
  <c r="F1513" i="11"/>
  <c r="E1513" i="11"/>
  <c r="C1512" i="11"/>
  <c r="D1512" i="11"/>
  <c r="F1512" i="11"/>
  <c r="E1512" i="11"/>
  <c r="C1511" i="11"/>
  <c r="D1511" i="11"/>
  <c r="F1511" i="11"/>
  <c r="E1511" i="11"/>
  <c r="C1507" i="11"/>
  <c r="D1507" i="11"/>
  <c r="F1507" i="11"/>
  <c r="E1507" i="11"/>
  <c r="C1508" i="11"/>
  <c r="D1508" i="11"/>
  <c r="F1508" i="11"/>
  <c r="E1508" i="11"/>
  <c r="C1509" i="11"/>
  <c r="D1509" i="11"/>
  <c r="F1509" i="11"/>
  <c r="E1509" i="11"/>
  <c r="C1510" i="11"/>
  <c r="D1510" i="11"/>
  <c r="F1510" i="11"/>
  <c r="E1510" i="11"/>
  <c r="C1506" i="11"/>
  <c r="D1506" i="11"/>
  <c r="F1506" i="11"/>
  <c r="E1506" i="11"/>
  <c r="C1505" i="11"/>
  <c r="D1505" i="11"/>
  <c r="F1505" i="11"/>
  <c r="E1505" i="11"/>
  <c r="C1504" i="11"/>
  <c r="D1504" i="11"/>
  <c r="F1504" i="11"/>
  <c r="E1504" i="11"/>
  <c r="C1503" i="11"/>
  <c r="D1503" i="11"/>
  <c r="F1503" i="11"/>
  <c r="E1503" i="11"/>
  <c r="C1500" i="11"/>
  <c r="D1500" i="11"/>
  <c r="E1500" i="11"/>
  <c r="F1500" i="11"/>
  <c r="C1501" i="11"/>
  <c r="D1501" i="11"/>
  <c r="E1501" i="11"/>
  <c r="F1501" i="11"/>
  <c r="C1502" i="11"/>
  <c r="D1502" i="11"/>
  <c r="E1502" i="11"/>
  <c r="F1502" i="11"/>
  <c r="C1499" i="11"/>
  <c r="D1499" i="11"/>
  <c r="E1499" i="11"/>
  <c r="F1499" i="11"/>
  <c r="C1498" i="11"/>
  <c r="D1498" i="11"/>
  <c r="E1498" i="11"/>
  <c r="F1498" i="11"/>
  <c r="J1472" i="11"/>
  <c r="J1474" i="11"/>
  <c r="J1475" i="11"/>
  <c r="J1476" i="11"/>
  <c r="J1477" i="11"/>
  <c r="J1478" i="11"/>
  <c r="J1479" i="11"/>
  <c r="J1481" i="11"/>
  <c r="J1482" i="11"/>
  <c r="J1483" i="11"/>
  <c r="J1484" i="11"/>
  <c r="J1485" i="11"/>
  <c r="J1486" i="11"/>
  <c r="J1488" i="11"/>
  <c r="J1489" i="11"/>
  <c r="J1490" i="11"/>
  <c r="J1491" i="11"/>
  <c r="J1492" i="11"/>
  <c r="J1493" i="11"/>
  <c r="J1495" i="11"/>
  <c r="I1494" i="11"/>
  <c r="J1494" i="11"/>
  <c r="I1487" i="11"/>
  <c r="J1487" i="11"/>
  <c r="I1480" i="11"/>
  <c r="J1480" i="11"/>
  <c r="J1471" i="11"/>
  <c r="J1470" i="11"/>
  <c r="J1469" i="11"/>
  <c r="J1468" i="11"/>
  <c r="J1467" i="11"/>
  <c r="J1466" i="11"/>
  <c r="I1473" i="11"/>
  <c r="J1473" i="11"/>
  <c r="C1497" i="11"/>
  <c r="D1497" i="11"/>
  <c r="E1497" i="11"/>
  <c r="F1497" i="11"/>
  <c r="C1496" i="11"/>
  <c r="D1496" i="11"/>
  <c r="E1496" i="11"/>
  <c r="F1496" i="11"/>
  <c r="C1493" i="11"/>
  <c r="D1493" i="11"/>
  <c r="F1493" i="11"/>
  <c r="E1493" i="11"/>
  <c r="G1493" i="11"/>
  <c r="K1493" i="11"/>
  <c r="C1494" i="11"/>
  <c r="D1494" i="11"/>
  <c r="F1494" i="11"/>
  <c r="E1494" i="11"/>
  <c r="C1495" i="11"/>
  <c r="D1495" i="11"/>
  <c r="F1495" i="11"/>
  <c r="E1495" i="11"/>
  <c r="G1495" i="11"/>
  <c r="K1495" i="11"/>
  <c r="C1492" i="11"/>
  <c r="D1492" i="11"/>
  <c r="F1492" i="11"/>
  <c r="E1492" i="11"/>
  <c r="C1491" i="11"/>
  <c r="D1491" i="11"/>
  <c r="F1491" i="11"/>
  <c r="E1491" i="11"/>
  <c r="G1491" i="11"/>
  <c r="K1491" i="11"/>
  <c r="C1490" i="11"/>
  <c r="D1490" i="11"/>
  <c r="F1490" i="11"/>
  <c r="E1490" i="11"/>
  <c r="G1490" i="11"/>
  <c r="K1490" i="11"/>
  <c r="C1489" i="11"/>
  <c r="D1489" i="11"/>
  <c r="F1489" i="11"/>
  <c r="E1489" i="11"/>
  <c r="G1489" i="11"/>
  <c r="K1489" i="11"/>
  <c r="C1486" i="11"/>
  <c r="D1486" i="11"/>
  <c r="E1486" i="11"/>
  <c r="F1486" i="11"/>
  <c r="G1486" i="11"/>
  <c r="K1486" i="11"/>
  <c r="C1487" i="11"/>
  <c r="D1487" i="11"/>
  <c r="E1487" i="11"/>
  <c r="F1487" i="11"/>
  <c r="G1487" i="11"/>
  <c r="K1487" i="11"/>
  <c r="C1488" i="11"/>
  <c r="D1488" i="11"/>
  <c r="F1488" i="11"/>
  <c r="E1488" i="11"/>
  <c r="G1488" i="11"/>
  <c r="K1488" i="11"/>
  <c r="C1485" i="11"/>
  <c r="D1485" i="11"/>
  <c r="E1485" i="11"/>
  <c r="F1485" i="11"/>
  <c r="G1485" i="11"/>
  <c r="K1485" i="11"/>
  <c r="C1484" i="11"/>
  <c r="D1484" i="11"/>
  <c r="E1484" i="11"/>
  <c r="F1484" i="11"/>
  <c r="G1484" i="11"/>
  <c r="K1484" i="11"/>
  <c r="C1483" i="11"/>
  <c r="D1483" i="11"/>
  <c r="E1483" i="11"/>
  <c r="F1483" i="11"/>
  <c r="G1483" i="11"/>
  <c r="K1483" i="11"/>
  <c r="C1482" i="11"/>
  <c r="D1482" i="11"/>
  <c r="E1482" i="11"/>
  <c r="F1482" i="11"/>
  <c r="C1479" i="11"/>
  <c r="D1479" i="11"/>
  <c r="E1479" i="11"/>
  <c r="F1479" i="11"/>
  <c r="G1479" i="11"/>
  <c r="C1480" i="11"/>
  <c r="D1480" i="11"/>
  <c r="E1480" i="11"/>
  <c r="F1480" i="11"/>
  <c r="G1480" i="11"/>
  <c r="K1480" i="11"/>
  <c r="C1481" i="11"/>
  <c r="D1481" i="11"/>
  <c r="E1481" i="11"/>
  <c r="F1481" i="11"/>
  <c r="G1481" i="11"/>
  <c r="K1481" i="11"/>
  <c r="C1478" i="11"/>
  <c r="D1478" i="11"/>
  <c r="E1478" i="11"/>
  <c r="F1478" i="11"/>
  <c r="G1478" i="11"/>
  <c r="K1478" i="11"/>
  <c r="C1477" i="11"/>
  <c r="D1477" i="11"/>
  <c r="E1477" i="11"/>
  <c r="F1477" i="11"/>
  <c r="G1477" i="11"/>
  <c r="K1477" i="11"/>
  <c r="C1476" i="11"/>
  <c r="D1476" i="11"/>
  <c r="E1476" i="11"/>
  <c r="F1476" i="11"/>
  <c r="G1476" i="11"/>
  <c r="K1476" i="11"/>
  <c r="C1475" i="11"/>
  <c r="D1475" i="11"/>
  <c r="E1475" i="11"/>
  <c r="F1475" i="11"/>
  <c r="G1475" i="11"/>
  <c r="K1475" i="11"/>
  <c r="C1472" i="11"/>
  <c r="D1472" i="11"/>
  <c r="F1472" i="11"/>
  <c r="E1472" i="11"/>
  <c r="G1472" i="11"/>
  <c r="K1472" i="11"/>
  <c r="C1473" i="11"/>
  <c r="D1473" i="11"/>
  <c r="E1473" i="11"/>
  <c r="F1473" i="11"/>
  <c r="C1474" i="11"/>
  <c r="D1474" i="11"/>
  <c r="F1474" i="11"/>
  <c r="E1474" i="11"/>
  <c r="J1439" i="11"/>
  <c r="J1440" i="11"/>
  <c r="J1441" i="11"/>
  <c r="J1442" i="11"/>
  <c r="J1443" i="11"/>
  <c r="J1444" i="11"/>
  <c r="J1446" i="11"/>
  <c r="J1447" i="11"/>
  <c r="J1448" i="11"/>
  <c r="C1448" i="11"/>
  <c r="D1448" i="11"/>
  <c r="F1448" i="11"/>
  <c r="E1448" i="11"/>
  <c r="G1448" i="11"/>
  <c r="J1449" i="11"/>
  <c r="J1450" i="11"/>
  <c r="J1451" i="11"/>
  <c r="J1453" i="11"/>
  <c r="J1454" i="11"/>
  <c r="J1455" i="11"/>
  <c r="J1456" i="11"/>
  <c r="J1457" i="11"/>
  <c r="C1457" i="11"/>
  <c r="D1457" i="11"/>
  <c r="F1457" i="11"/>
  <c r="E1457" i="11"/>
  <c r="J1458" i="11"/>
  <c r="J1460" i="11"/>
  <c r="J1461" i="11"/>
  <c r="J1462" i="11"/>
  <c r="J1463" i="11"/>
  <c r="J1464" i="11"/>
  <c r="J1465" i="11"/>
  <c r="I1459" i="11"/>
  <c r="J1459" i="11"/>
  <c r="C1459" i="11"/>
  <c r="D1459" i="11"/>
  <c r="F1459" i="11"/>
  <c r="E1459" i="11"/>
  <c r="I1452" i="11"/>
  <c r="J1452" i="11"/>
  <c r="I1445" i="11"/>
  <c r="J1445" i="11"/>
  <c r="I1438" i="11"/>
  <c r="J1438" i="11"/>
  <c r="J1437" i="11"/>
  <c r="J1436" i="11"/>
  <c r="C1471" i="11"/>
  <c r="D1471" i="11"/>
  <c r="F1471" i="11"/>
  <c r="E1471" i="11"/>
  <c r="C1470" i="11"/>
  <c r="D1470" i="11"/>
  <c r="F1470" i="11"/>
  <c r="E1470" i="11"/>
  <c r="C1469" i="11"/>
  <c r="D1469" i="11"/>
  <c r="F1469" i="11"/>
  <c r="E1469" i="11"/>
  <c r="C1468" i="11"/>
  <c r="D1468" i="11"/>
  <c r="F1468" i="11"/>
  <c r="E1468" i="11"/>
  <c r="C1464" i="11"/>
  <c r="D1464" i="11"/>
  <c r="F1464" i="11"/>
  <c r="E1464" i="11"/>
  <c r="C1465" i="11"/>
  <c r="D1465" i="11"/>
  <c r="F1465" i="11"/>
  <c r="E1465" i="11"/>
  <c r="C1466" i="11"/>
  <c r="D1466" i="11"/>
  <c r="F1466" i="11"/>
  <c r="E1466" i="11"/>
  <c r="C1467" i="11"/>
  <c r="D1467" i="11"/>
  <c r="F1467" i="11"/>
  <c r="E1467" i="11"/>
  <c r="C1463" i="11"/>
  <c r="D1463" i="11"/>
  <c r="E1463" i="11"/>
  <c r="F1463" i="11"/>
  <c r="C1462" i="11"/>
  <c r="D1462" i="11"/>
  <c r="F1462" i="11"/>
  <c r="E1462" i="11"/>
  <c r="C1460" i="11"/>
  <c r="D1460" i="11"/>
  <c r="F1460" i="11"/>
  <c r="E1460" i="11"/>
  <c r="C1461" i="11"/>
  <c r="D1461" i="11"/>
  <c r="E1461" i="11"/>
  <c r="F1461" i="11"/>
  <c r="C1458" i="11"/>
  <c r="D1458" i="11"/>
  <c r="E1458" i="11"/>
  <c r="F1458" i="11"/>
  <c r="C1456" i="11"/>
  <c r="D1456" i="11"/>
  <c r="F1456" i="11"/>
  <c r="E1456" i="11"/>
  <c r="C1455" i="11"/>
  <c r="D1455" i="11"/>
  <c r="F1455" i="11"/>
  <c r="E1455" i="11"/>
  <c r="C1454" i="11"/>
  <c r="D1454" i="11"/>
  <c r="F1454" i="11"/>
  <c r="E1454" i="11"/>
  <c r="C1451" i="11"/>
  <c r="D1451" i="11"/>
  <c r="F1451" i="11"/>
  <c r="E1451" i="11"/>
  <c r="C1452" i="11"/>
  <c r="D1452" i="11"/>
  <c r="F1452" i="11"/>
  <c r="E1452" i="11"/>
  <c r="C1453" i="11"/>
  <c r="D1453" i="11"/>
  <c r="F1453" i="11"/>
  <c r="E1453" i="11"/>
  <c r="C1450" i="11"/>
  <c r="D1450" i="11"/>
  <c r="F1450" i="11"/>
  <c r="E1450" i="11"/>
  <c r="C1449" i="11"/>
  <c r="D1449" i="11"/>
  <c r="E1449" i="11"/>
  <c r="F1449" i="11"/>
  <c r="C1447" i="11"/>
  <c r="D1447" i="11"/>
  <c r="F1447" i="11"/>
  <c r="E1447" i="11"/>
  <c r="C1444" i="11"/>
  <c r="D1444" i="11"/>
  <c r="E1444" i="11"/>
  <c r="F1444" i="11"/>
  <c r="C1445" i="11"/>
  <c r="D1445" i="11"/>
  <c r="E1445" i="11"/>
  <c r="F1445" i="11"/>
  <c r="C1446" i="11"/>
  <c r="D1446" i="11"/>
  <c r="E1446" i="11"/>
  <c r="F1446" i="11"/>
  <c r="C1443" i="11"/>
  <c r="D1443" i="11"/>
  <c r="E1443" i="11"/>
  <c r="F1443" i="11"/>
  <c r="J1411" i="11"/>
  <c r="J1412" i="11"/>
  <c r="J1413" i="11"/>
  <c r="J1414" i="11"/>
  <c r="J1415" i="11"/>
  <c r="J1416" i="11"/>
  <c r="J1418" i="11"/>
  <c r="J1419" i="11"/>
  <c r="J1420" i="11"/>
  <c r="J1421" i="11"/>
  <c r="J1422" i="11"/>
  <c r="J1423" i="11"/>
  <c r="J1425" i="11"/>
  <c r="J1426" i="11"/>
  <c r="J1427" i="11"/>
  <c r="J1428" i="11"/>
  <c r="J1429" i="11"/>
  <c r="J1430" i="11"/>
  <c r="J1432" i="11"/>
  <c r="J1433" i="11"/>
  <c r="J1434" i="11"/>
  <c r="J1435" i="11"/>
  <c r="I1431" i="11"/>
  <c r="J1431" i="11"/>
  <c r="I1424" i="11"/>
  <c r="J1424" i="11"/>
  <c r="I1417" i="11"/>
  <c r="J1417" i="11"/>
  <c r="I1410" i="11"/>
  <c r="J1410" i="11"/>
  <c r="J1409" i="11"/>
  <c r="J1408" i="11"/>
  <c r="J1407" i="11"/>
  <c r="J1406" i="11"/>
  <c r="J1405" i="11"/>
  <c r="C1442" i="11"/>
  <c r="D1442" i="11"/>
  <c r="F1442" i="11"/>
  <c r="E1442" i="11"/>
  <c r="C1441" i="11"/>
  <c r="D1441" i="11"/>
  <c r="E1441" i="11"/>
  <c r="F1441" i="11"/>
  <c r="C1436" i="11"/>
  <c r="D1436" i="11"/>
  <c r="E1436" i="11"/>
  <c r="F1436" i="11"/>
  <c r="C1437" i="11"/>
  <c r="D1437" i="11"/>
  <c r="E1437" i="11"/>
  <c r="F1437" i="11"/>
  <c r="C1438" i="11"/>
  <c r="D1438" i="11"/>
  <c r="F1438" i="11"/>
  <c r="E1438" i="11"/>
  <c r="C1439" i="11"/>
  <c r="D1439" i="11"/>
  <c r="E1439" i="11"/>
  <c r="F1439" i="11"/>
  <c r="C1440" i="11"/>
  <c r="D1440" i="11"/>
  <c r="E1440" i="11"/>
  <c r="F1440" i="11"/>
  <c r="C1435" i="11"/>
  <c r="D1435" i="11"/>
  <c r="F1435" i="11"/>
  <c r="E1435" i="11"/>
  <c r="C1434" i="11"/>
  <c r="D1434" i="11"/>
  <c r="F1434" i="11"/>
  <c r="E1434" i="11"/>
  <c r="C1433" i="11"/>
  <c r="D1433" i="11"/>
  <c r="E1433" i="11"/>
  <c r="F1433" i="11"/>
  <c r="C1430" i="11"/>
  <c r="D1430" i="11"/>
  <c r="E1430" i="11"/>
  <c r="F1430" i="11"/>
  <c r="C1431" i="11"/>
  <c r="D1431" i="11"/>
  <c r="E1431" i="11"/>
  <c r="F1431" i="11"/>
  <c r="C1432" i="11"/>
  <c r="D1432" i="11"/>
  <c r="F1432" i="11"/>
  <c r="E1432" i="11"/>
  <c r="C1429" i="11"/>
  <c r="D1429" i="11"/>
  <c r="E1429" i="11"/>
  <c r="F1429" i="11"/>
  <c r="C1428" i="11"/>
  <c r="D1428" i="11"/>
  <c r="E1428" i="11"/>
  <c r="F1428" i="11"/>
  <c r="C1427" i="11"/>
  <c r="D1427" i="11"/>
  <c r="E1427" i="11"/>
  <c r="F1427" i="11"/>
  <c r="C1426" i="11"/>
  <c r="D1426" i="11"/>
  <c r="F1426" i="11"/>
  <c r="E1426" i="11"/>
  <c r="C1423" i="11"/>
  <c r="D1423" i="11"/>
  <c r="E1423" i="11"/>
  <c r="F1423" i="11"/>
  <c r="C1424" i="11"/>
  <c r="D1424" i="11"/>
  <c r="E1424" i="11"/>
  <c r="F1424" i="11"/>
  <c r="C1425" i="11"/>
  <c r="D1425" i="11"/>
  <c r="E1425" i="11"/>
  <c r="F1425" i="11"/>
  <c r="C1422" i="11"/>
  <c r="D1422" i="11"/>
  <c r="F1422" i="11"/>
  <c r="E1422" i="11"/>
  <c r="C1421" i="11"/>
  <c r="D1421" i="11"/>
  <c r="E1421" i="11"/>
  <c r="F1421" i="11"/>
  <c r="C1420" i="11"/>
  <c r="D1420" i="11"/>
  <c r="E1420" i="11"/>
  <c r="F1420" i="11"/>
  <c r="C1419" i="11"/>
  <c r="D1419" i="11"/>
  <c r="E1419" i="11"/>
  <c r="F1419" i="11"/>
  <c r="C1416" i="11"/>
  <c r="D1416" i="11"/>
  <c r="F1416" i="11"/>
  <c r="E1416" i="11"/>
  <c r="C1417" i="11"/>
  <c r="D1417" i="11"/>
  <c r="E1417" i="11"/>
  <c r="F1417" i="11"/>
  <c r="C1418" i="11"/>
  <c r="D1418" i="11"/>
  <c r="E1418" i="11"/>
  <c r="F1418" i="11"/>
  <c r="C1415" i="11"/>
  <c r="D1415" i="11"/>
  <c r="E1415" i="11"/>
  <c r="F1415" i="11"/>
  <c r="C1414" i="11"/>
  <c r="D1414" i="11"/>
  <c r="E1414" i="11"/>
  <c r="F1414" i="11"/>
  <c r="C1413" i="11"/>
  <c r="D1413" i="11"/>
  <c r="E1413" i="11"/>
  <c r="F1413" i="11"/>
  <c r="C1412" i="11"/>
  <c r="D1412" i="11"/>
  <c r="E1412" i="11"/>
  <c r="F1412" i="11"/>
  <c r="J1383" i="11"/>
  <c r="J1384" i="11"/>
  <c r="J1385" i="11"/>
  <c r="J1386" i="11"/>
  <c r="J1387" i="11"/>
  <c r="J1388" i="11"/>
  <c r="J1389" i="11"/>
  <c r="J1390" i="11"/>
  <c r="J1391" i="11"/>
  <c r="J1392" i="11"/>
  <c r="J1393" i="11"/>
  <c r="J1394" i="11"/>
  <c r="J1395" i="11"/>
  <c r="J1396" i="11"/>
  <c r="J1397" i="11"/>
  <c r="J1398" i="11"/>
  <c r="J1399" i="11"/>
  <c r="J1400" i="11"/>
  <c r="J1401" i="11"/>
  <c r="J1402" i="11"/>
  <c r="J1403" i="11"/>
  <c r="J1404" i="11"/>
  <c r="I1382" i="11"/>
  <c r="J1382" i="11"/>
  <c r="J1381" i="11"/>
  <c r="J1380" i="11"/>
  <c r="J1379" i="11"/>
  <c r="J1378" i="11"/>
  <c r="J1377" i="11"/>
  <c r="C1409" i="11"/>
  <c r="D1409" i="11"/>
  <c r="E1409" i="11"/>
  <c r="F1409" i="11"/>
  <c r="C1410" i="11"/>
  <c r="D1410" i="11"/>
  <c r="E1410" i="11"/>
  <c r="F1410" i="11"/>
  <c r="C1411" i="11"/>
  <c r="D1411" i="11"/>
  <c r="F1411" i="11"/>
  <c r="E1411" i="11"/>
  <c r="C1408" i="11"/>
  <c r="D1408" i="11"/>
  <c r="E1408" i="11"/>
  <c r="F1408" i="11"/>
  <c r="C1407" i="11"/>
  <c r="D1407" i="11"/>
  <c r="E1407" i="11"/>
  <c r="F1407" i="11"/>
  <c r="C1406" i="11"/>
  <c r="D1406" i="11"/>
  <c r="E1406" i="11"/>
  <c r="F1406" i="11"/>
  <c r="C1402" i="11"/>
  <c r="D1402" i="11"/>
  <c r="E1402" i="11"/>
  <c r="F1402" i="11"/>
  <c r="C1403" i="11"/>
  <c r="D1403" i="11"/>
  <c r="F1403" i="11"/>
  <c r="E1403" i="11"/>
  <c r="C1404" i="11"/>
  <c r="D1404" i="11"/>
  <c r="E1404" i="11"/>
  <c r="F1404" i="11"/>
  <c r="C1405" i="11"/>
  <c r="D1405" i="11"/>
  <c r="E1405" i="11"/>
  <c r="F1405" i="11"/>
  <c r="C1401" i="11"/>
  <c r="D1401" i="11"/>
  <c r="E1401" i="11"/>
  <c r="F1401" i="11"/>
  <c r="C1400" i="11"/>
  <c r="D1400" i="11"/>
  <c r="E1400" i="11"/>
  <c r="F1400" i="11"/>
  <c r="C1399" i="11"/>
  <c r="D1399" i="11"/>
  <c r="F1399" i="11"/>
  <c r="E1399" i="11"/>
  <c r="C1398" i="11"/>
  <c r="D1398" i="11"/>
  <c r="E1398" i="11"/>
  <c r="F1398" i="11"/>
  <c r="C1396" i="11"/>
  <c r="D1396" i="11"/>
  <c r="E1396" i="11"/>
  <c r="F1396" i="11"/>
  <c r="C1397" i="11"/>
  <c r="D1397" i="11"/>
  <c r="F1397" i="11"/>
  <c r="E1397" i="11"/>
  <c r="C1395" i="11"/>
  <c r="D1395" i="11"/>
  <c r="F1395" i="11"/>
  <c r="E1395" i="11"/>
  <c r="C1394" i="11"/>
  <c r="D1394" i="11"/>
  <c r="E1394" i="11"/>
  <c r="F1394" i="11"/>
  <c r="C1393" i="11"/>
  <c r="D1393" i="11"/>
  <c r="E1393" i="11"/>
  <c r="F1393" i="11"/>
  <c r="C1385" i="11"/>
  <c r="D1385" i="11"/>
  <c r="E1385" i="11"/>
  <c r="F1385" i="11"/>
  <c r="C1386" i="11"/>
  <c r="D1386" i="11"/>
  <c r="E1386" i="11"/>
  <c r="F1386" i="11"/>
  <c r="C1387" i="11"/>
  <c r="D1387" i="11"/>
  <c r="E1387" i="11"/>
  <c r="F1387" i="11"/>
  <c r="C1388" i="11"/>
  <c r="D1388" i="11"/>
  <c r="E1388" i="11"/>
  <c r="F1388" i="11"/>
  <c r="C1389" i="11"/>
  <c r="D1389" i="11"/>
  <c r="E1389" i="11"/>
  <c r="F1389" i="11"/>
  <c r="C1390" i="11"/>
  <c r="D1390" i="11"/>
  <c r="E1390" i="11"/>
  <c r="F1390" i="11"/>
  <c r="C1391" i="11"/>
  <c r="D1391" i="11"/>
  <c r="E1391" i="11"/>
  <c r="F1391" i="11"/>
  <c r="C1392" i="11"/>
  <c r="D1392" i="11"/>
  <c r="E1392" i="11"/>
  <c r="F1392" i="11"/>
  <c r="C1384" i="11"/>
  <c r="D1384" i="11"/>
  <c r="F1384" i="11"/>
  <c r="E1384" i="11"/>
  <c r="C1381" i="11"/>
  <c r="D1381" i="11"/>
  <c r="E1381" i="11"/>
  <c r="F1381" i="11"/>
  <c r="C1382" i="11"/>
  <c r="D1382" i="11"/>
  <c r="E1382" i="11"/>
  <c r="F1382" i="11"/>
  <c r="C1383" i="11"/>
  <c r="D1383" i="11"/>
  <c r="E1383" i="11"/>
  <c r="F1383" i="11"/>
  <c r="BL22" i="2"/>
  <c r="BK22" i="2"/>
  <c r="BJ22" i="2"/>
  <c r="BI22" i="2"/>
  <c r="BE22" i="2"/>
  <c r="BD22" i="2"/>
  <c r="BC22" i="2"/>
  <c r="BM16" i="2"/>
  <c r="BN16" i="2"/>
  <c r="BN22" i="2"/>
  <c r="BH16" i="2"/>
  <c r="BH22" i="2"/>
  <c r="BF16" i="2"/>
  <c r="BG16" i="2"/>
  <c r="BG22" i="2"/>
  <c r="BF22" i="2"/>
  <c r="BH13" i="2"/>
  <c r="C1380" i="11"/>
  <c r="D1380" i="11"/>
  <c r="E1380" i="11"/>
  <c r="F1380" i="11"/>
  <c r="C1379" i="11"/>
  <c r="D1379" i="11"/>
  <c r="E1379" i="11"/>
  <c r="F1379" i="11"/>
  <c r="J1348" i="11"/>
  <c r="J1349" i="11"/>
  <c r="J1350" i="11"/>
  <c r="C1350" i="11"/>
  <c r="D1350" i="11"/>
  <c r="F1350" i="11"/>
  <c r="E1350" i="11"/>
  <c r="J1351" i="11"/>
  <c r="J1352" i="11"/>
  <c r="J1353" i="11"/>
  <c r="J1355" i="11"/>
  <c r="J1356" i="11"/>
  <c r="J1357" i="11"/>
  <c r="J1358" i="11"/>
  <c r="J1359" i="11"/>
  <c r="J1360" i="11"/>
  <c r="J1362" i="11"/>
  <c r="J1363" i="11"/>
  <c r="J1364" i="11"/>
  <c r="C1364" i="11"/>
  <c r="D1364" i="11"/>
  <c r="F1364" i="11"/>
  <c r="E1364" i="11"/>
  <c r="J1365" i="11"/>
  <c r="J1366" i="11"/>
  <c r="J1367" i="11"/>
  <c r="J1368" i="11"/>
  <c r="C1368" i="11"/>
  <c r="D1368" i="11"/>
  <c r="F1368" i="11"/>
  <c r="E1368" i="11"/>
  <c r="J1369" i="11"/>
  <c r="J1370" i="11"/>
  <c r="J1371" i="11"/>
  <c r="J1372" i="11"/>
  <c r="C1372" i="11"/>
  <c r="D1372" i="11"/>
  <c r="F1372" i="11"/>
  <c r="E1372" i="11"/>
  <c r="J1373" i="11"/>
  <c r="J1374" i="11"/>
  <c r="J1375" i="11"/>
  <c r="J1376" i="11"/>
  <c r="I1361" i="11"/>
  <c r="J1361" i="11"/>
  <c r="I1354" i="11"/>
  <c r="J1354" i="11"/>
  <c r="I1347" i="11"/>
  <c r="J1347" i="11"/>
  <c r="J1346" i="11"/>
  <c r="C1378" i="11"/>
  <c r="D1378" i="11"/>
  <c r="F1378" i="11"/>
  <c r="E1378" i="11"/>
  <c r="C1377" i="11"/>
  <c r="D1377" i="11"/>
  <c r="F1377" i="11"/>
  <c r="E1377" i="11"/>
  <c r="G1377" i="11"/>
  <c r="K1377" i="11"/>
  <c r="C1374" i="11"/>
  <c r="D1374" i="11"/>
  <c r="E1374" i="11"/>
  <c r="F1374" i="11"/>
  <c r="C1375" i="11"/>
  <c r="D1375" i="11"/>
  <c r="E1375" i="11"/>
  <c r="F1375" i="11"/>
  <c r="C1376" i="11"/>
  <c r="D1376" i="11"/>
  <c r="F1376" i="11"/>
  <c r="E1376" i="11"/>
  <c r="C1373" i="11"/>
  <c r="D1373" i="11"/>
  <c r="E1373" i="11"/>
  <c r="F1373" i="11"/>
  <c r="C1371" i="11"/>
  <c r="D1371" i="11"/>
  <c r="E1371" i="11"/>
  <c r="F1371" i="11"/>
  <c r="C1370" i="11"/>
  <c r="D1370" i="11"/>
  <c r="F1370" i="11"/>
  <c r="E1370" i="11"/>
  <c r="C1367" i="11"/>
  <c r="D1367" i="11"/>
  <c r="E1367" i="11"/>
  <c r="F1367" i="11"/>
  <c r="C1369" i="11"/>
  <c r="D1369" i="11"/>
  <c r="F1369" i="11"/>
  <c r="E1369" i="11"/>
  <c r="G1369" i="11"/>
  <c r="K1369" i="11"/>
  <c r="C1366" i="11"/>
  <c r="D1366" i="11"/>
  <c r="F1366" i="11"/>
  <c r="E1366" i="11"/>
  <c r="C1365" i="11"/>
  <c r="D1365" i="11"/>
  <c r="E1365" i="11"/>
  <c r="F1365" i="11"/>
  <c r="C1363" i="11"/>
  <c r="D1363" i="11"/>
  <c r="F1363" i="11"/>
  <c r="E1363" i="11"/>
  <c r="G1363" i="11"/>
  <c r="K1363" i="11"/>
  <c r="C1360" i="11"/>
  <c r="D1360" i="11"/>
  <c r="F1360" i="11"/>
  <c r="E1360" i="11"/>
  <c r="C1361" i="11"/>
  <c r="D1361" i="11"/>
  <c r="E1361" i="11"/>
  <c r="F1361" i="11"/>
  <c r="C1362" i="11"/>
  <c r="D1362" i="11"/>
  <c r="E1362" i="11"/>
  <c r="F1362" i="11"/>
  <c r="C1359" i="11"/>
  <c r="D1359" i="11"/>
  <c r="E1359" i="11"/>
  <c r="F1359" i="11"/>
  <c r="C1358" i="11"/>
  <c r="D1358" i="11"/>
  <c r="F1358" i="11"/>
  <c r="E1358" i="11"/>
  <c r="C1357" i="11"/>
  <c r="D1357" i="11"/>
  <c r="E1357" i="11"/>
  <c r="F1357" i="11"/>
  <c r="C1356" i="11"/>
  <c r="D1356" i="11"/>
  <c r="E1356" i="11"/>
  <c r="F1356" i="11"/>
  <c r="J1320" i="11"/>
  <c r="J1321" i="11"/>
  <c r="J1322" i="11"/>
  <c r="J1323" i="11"/>
  <c r="J1324" i="11"/>
  <c r="J1325" i="11"/>
  <c r="J1327" i="11"/>
  <c r="J1328" i="11"/>
  <c r="J1329" i="11"/>
  <c r="J1330" i="11"/>
  <c r="J1331" i="11"/>
  <c r="J1332" i="11"/>
  <c r="J1334" i="11"/>
  <c r="J1335" i="11"/>
  <c r="J1336" i="11"/>
  <c r="J1337" i="11"/>
  <c r="J1338" i="11"/>
  <c r="J1339" i="11"/>
  <c r="J1341" i="11"/>
  <c r="J1342" i="11"/>
  <c r="J1343" i="11"/>
  <c r="J1344" i="11"/>
  <c r="J1345" i="11"/>
  <c r="I1340" i="11"/>
  <c r="J1340" i="11"/>
  <c r="I1333" i="11"/>
  <c r="J1333" i="11"/>
  <c r="I1326" i="11"/>
  <c r="J1326" i="11"/>
  <c r="I1319" i="11"/>
  <c r="J1319" i="11"/>
  <c r="J1318" i="11"/>
  <c r="J1317" i="11"/>
  <c r="J1316" i="11"/>
  <c r="J1315" i="11"/>
  <c r="C1353" i="11"/>
  <c r="D1353" i="11"/>
  <c r="F1353" i="11"/>
  <c r="E1353" i="11"/>
  <c r="C1354" i="11"/>
  <c r="D1354" i="11"/>
  <c r="F1354" i="11"/>
  <c r="E1354" i="11"/>
  <c r="C1355" i="11"/>
  <c r="D1355" i="11"/>
  <c r="F1355" i="11"/>
  <c r="E1355" i="11"/>
  <c r="C1352" i="11"/>
  <c r="D1352" i="11"/>
  <c r="F1352" i="11"/>
  <c r="E1352" i="11"/>
  <c r="BH26" i="2"/>
  <c r="BM22" i="2"/>
  <c r="BM26" i="2"/>
  <c r="BC26" i="2"/>
  <c r="C1351" i="11"/>
  <c r="D1351" i="11"/>
  <c r="F1351" i="11"/>
  <c r="E1351" i="11"/>
  <c r="C1349" i="11"/>
  <c r="D1349" i="11"/>
  <c r="F1349" i="11"/>
  <c r="E1349" i="11"/>
  <c r="C1348" i="11"/>
  <c r="D1348" i="11"/>
  <c r="F1348" i="11"/>
  <c r="E1348" i="11"/>
  <c r="C1345" i="11"/>
  <c r="D1345" i="11"/>
  <c r="F1345" i="11"/>
  <c r="E1345" i="11"/>
  <c r="C1346" i="11"/>
  <c r="D1346" i="11"/>
  <c r="F1346" i="11"/>
  <c r="E1346" i="11"/>
  <c r="C1347" i="11"/>
  <c r="D1347" i="11"/>
  <c r="F1347" i="11"/>
  <c r="E1347" i="11"/>
  <c r="C1344" i="11"/>
  <c r="D1344" i="11"/>
  <c r="E1344" i="11"/>
  <c r="F1344" i="11"/>
  <c r="C1343" i="11"/>
  <c r="D1343" i="11"/>
  <c r="E1343" i="11"/>
  <c r="F1343" i="11"/>
  <c r="C1342" i="11"/>
  <c r="D1342" i="11"/>
  <c r="E1342" i="11"/>
  <c r="F1342" i="11"/>
  <c r="E1341" i="11"/>
  <c r="D1341" i="11"/>
  <c r="C1339" i="11"/>
  <c r="D1339" i="11"/>
  <c r="E1339" i="11"/>
  <c r="F1339" i="11"/>
  <c r="C1340" i="11"/>
  <c r="D1340" i="11"/>
  <c r="F1340" i="11"/>
  <c r="C1341" i="11"/>
  <c r="F1341" i="11"/>
  <c r="C1338" i="11"/>
  <c r="D1338" i="11"/>
  <c r="E1338" i="11"/>
  <c r="F1338" i="11"/>
  <c r="C1337" i="11"/>
  <c r="D1337" i="11"/>
  <c r="E1337" i="11"/>
  <c r="F1337" i="11"/>
  <c r="C1336" i="11"/>
  <c r="D1336" i="11"/>
  <c r="E1336" i="11"/>
  <c r="F1336" i="11"/>
  <c r="D1335" i="11"/>
  <c r="C1335" i="11"/>
  <c r="E1335" i="11"/>
  <c r="F1335" i="11"/>
  <c r="C1333" i="11"/>
  <c r="D1333" i="11"/>
  <c r="E1333" i="11"/>
  <c r="F1333" i="11"/>
  <c r="C1334" i="11"/>
  <c r="D1334" i="11"/>
  <c r="E1334" i="11"/>
  <c r="F1334" i="11"/>
  <c r="C1332" i="11"/>
  <c r="D1332" i="11"/>
  <c r="E1332" i="11"/>
  <c r="F1332" i="11"/>
  <c r="C1331" i="11"/>
  <c r="D1331" i="11"/>
  <c r="E1331" i="11"/>
  <c r="F1331" i="11"/>
  <c r="C1330" i="11"/>
  <c r="D1330" i="11"/>
  <c r="E1330" i="11"/>
  <c r="F1330" i="11"/>
  <c r="C1329" i="11"/>
  <c r="D1329" i="11"/>
  <c r="E1329" i="11"/>
  <c r="F1329" i="11"/>
  <c r="C1328" i="11"/>
  <c r="D1328" i="11"/>
  <c r="E1328" i="11"/>
  <c r="F1328" i="11"/>
  <c r="C1325" i="11"/>
  <c r="D1325" i="11"/>
  <c r="E1325" i="11"/>
  <c r="F1325" i="11"/>
  <c r="C1326" i="11"/>
  <c r="D1326" i="11"/>
  <c r="E1326" i="11"/>
  <c r="F1326" i="11"/>
  <c r="C1327" i="11"/>
  <c r="D1327" i="11"/>
  <c r="E1327" i="11"/>
  <c r="F1327" i="11"/>
  <c r="C1324" i="11"/>
  <c r="D1324" i="11"/>
  <c r="E1324" i="11"/>
  <c r="F1324" i="11"/>
  <c r="C1323" i="11"/>
  <c r="D1323" i="11"/>
  <c r="E1323" i="11"/>
  <c r="F1323" i="11"/>
  <c r="C1322" i="11"/>
  <c r="D1322" i="11"/>
  <c r="E1322" i="11"/>
  <c r="F1322" i="11"/>
  <c r="C1321" i="11"/>
  <c r="D1321" i="11"/>
  <c r="E1321" i="11"/>
  <c r="F1321" i="11"/>
  <c r="C1318" i="11"/>
  <c r="D1318" i="11"/>
  <c r="E1318" i="11"/>
  <c r="F1318" i="11"/>
  <c r="C1319" i="11"/>
  <c r="D1319" i="11"/>
  <c r="E1319" i="11"/>
  <c r="F1319" i="11"/>
  <c r="C1320" i="11"/>
  <c r="D1320" i="11"/>
  <c r="E1320" i="11"/>
  <c r="F1320" i="11"/>
  <c r="J1285" i="11"/>
  <c r="J1286" i="11"/>
  <c r="J1287" i="11"/>
  <c r="J1288" i="11"/>
  <c r="J1289" i="11"/>
  <c r="J1290" i="11"/>
  <c r="J1292" i="11"/>
  <c r="J1293" i="11"/>
  <c r="J1294" i="11"/>
  <c r="J1295" i="11"/>
  <c r="J1296" i="11"/>
  <c r="J1297" i="11"/>
  <c r="J1299" i="11"/>
  <c r="J1300" i="11"/>
  <c r="J1301" i="11"/>
  <c r="J1302" i="11"/>
  <c r="J1303" i="11"/>
  <c r="J1304" i="11"/>
  <c r="J1306" i="11"/>
  <c r="J1307" i="11"/>
  <c r="J1308" i="11"/>
  <c r="J1309" i="11"/>
  <c r="J1310" i="11"/>
  <c r="J1311" i="11"/>
  <c r="J1313" i="11"/>
  <c r="J1314" i="11"/>
  <c r="I1312" i="11"/>
  <c r="J1312" i="11"/>
  <c r="I1305" i="11"/>
  <c r="J1305" i="11"/>
  <c r="I1298" i="11"/>
  <c r="J1298" i="11"/>
  <c r="I1291" i="11"/>
  <c r="J1291" i="11"/>
  <c r="C1317" i="11"/>
  <c r="D1317" i="11"/>
  <c r="E1317" i="11"/>
  <c r="F1317" i="11"/>
  <c r="C1316" i="11"/>
  <c r="D1316" i="11"/>
  <c r="E1316" i="11"/>
  <c r="F1316" i="11"/>
  <c r="C1315" i="11"/>
  <c r="D1315" i="11"/>
  <c r="E1315" i="11"/>
  <c r="F1315" i="11"/>
  <c r="C1314" i="11"/>
  <c r="D1314" i="11"/>
  <c r="E1314" i="11"/>
  <c r="F1314" i="11"/>
  <c r="C1311" i="11"/>
  <c r="D1311" i="11"/>
  <c r="E1311" i="11"/>
  <c r="F1311" i="11"/>
  <c r="C1312" i="11"/>
  <c r="D1312" i="11"/>
  <c r="E1312" i="11"/>
  <c r="F1312" i="11"/>
  <c r="C1313" i="11"/>
  <c r="D1313" i="11"/>
  <c r="E1313" i="11"/>
  <c r="F1313" i="11"/>
  <c r="C1310" i="11"/>
  <c r="D1310" i="11"/>
  <c r="E1310" i="11"/>
  <c r="F1310" i="11"/>
  <c r="C1309" i="11"/>
  <c r="D1309" i="11"/>
  <c r="F1309" i="11"/>
  <c r="E1309" i="11"/>
  <c r="C1308" i="11"/>
  <c r="D1308" i="11"/>
  <c r="E1308" i="11"/>
  <c r="F1308" i="11"/>
  <c r="C1307" i="11"/>
  <c r="D1307" i="11"/>
  <c r="E1307" i="11"/>
  <c r="F1307" i="11"/>
  <c r="C1304" i="11"/>
  <c r="D1304" i="11"/>
  <c r="E1304" i="11"/>
  <c r="F1304" i="11"/>
  <c r="C1305" i="11"/>
  <c r="D1305" i="11"/>
  <c r="F1305" i="11"/>
  <c r="E1305" i="11"/>
  <c r="C1306" i="11"/>
  <c r="D1306" i="11"/>
  <c r="E1306" i="11"/>
  <c r="F1306" i="11"/>
  <c r="C1303" i="11"/>
  <c r="D1303" i="11"/>
  <c r="E1303" i="11"/>
  <c r="F1303" i="11"/>
  <c r="C1302" i="11"/>
  <c r="D1302" i="11"/>
  <c r="E1302" i="11"/>
  <c r="F1302" i="11"/>
  <c r="C1301" i="11"/>
  <c r="D1301" i="11"/>
  <c r="E1301" i="11"/>
  <c r="F1301" i="11"/>
  <c r="C1300" i="11"/>
  <c r="D1300" i="11"/>
  <c r="E1300" i="11"/>
  <c r="F1300" i="11"/>
  <c r="C1297" i="11"/>
  <c r="D1297" i="11"/>
  <c r="E1297" i="11"/>
  <c r="F1297" i="11"/>
  <c r="C1298" i="11"/>
  <c r="D1298" i="11"/>
  <c r="E1298" i="11"/>
  <c r="F1298" i="11"/>
  <c r="C1299" i="11"/>
  <c r="D1299" i="11"/>
  <c r="E1299" i="11"/>
  <c r="F1299" i="11"/>
  <c r="C1296" i="11"/>
  <c r="D1296" i="11"/>
  <c r="E1296" i="11"/>
  <c r="F1296" i="11"/>
  <c r="C1295" i="11"/>
  <c r="D1295" i="11"/>
  <c r="F1295" i="11"/>
  <c r="E1295" i="11"/>
  <c r="C1294" i="11"/>
  <c r="D1294" i="11"/>
  <c r="E1294" i="11"/>
  <c r="F1294" i="11"/>
  <c r="C1293" i="11"/>
  <c r="D1293" i="11"/>
  <c r="E1293" i="11"/>
  <c r="F1293" i="11"/>
  <c r="C1290" i="11"/>
  <c r="D1290" i="11"/>
  <c r="E1290" i="11"/>
  <c r="F1290" i="11"/>
  <c r="C1291" i="11"/>
  <c r="D1291" i="11"/>
  <c r="E1291" i="11"/>
  <c r="F1291" i="11"/>
  <c r="C1292" i="11"/>
  <c r="D1292" i="11"/>
  <c r="E1292" i="11"/>
  <c r="F1292" i="11"/>
  <c r="J1257" i="11"/>
  <c r="J1258" i="11"/>
  <c r="J1259" i="11"/>
  <c r="J1260" i="11"/>
  <c r="J1261" i="11"/>
  <c r="J1262" i="11"/>
  <c r="J1263" i="11"/>
  <c r="J1264" i="11"/>
  <c r="J1265" i="11"/>
  <c r="J1266" i="11"/>
  <c r="J1267" i="11"/>
  <c r="J1268" i="11"/>
  <c r="J1269" i="11"/>
  <c r="J1271" i="11"/>
  <c r="J1272" i="11"/>
  <c r="J1273" i="11"/>
  <c r="C1273" i="11"/>
  <c r="D1273" i="11"/>
  <c r="F1273" i="11"/>
  <c r="E1273" i="11"/>
  <c r="J1274" i="11"/>
  <c r="J1275" i="11"/>
  <c r="J1276" i="11"/>
  <c r="J1278" i="11"/>
  <c r="J1279" i="11"/>
  <c r="J1280" i="11"/>
  <c r="J1281" i="11"/>
  <c r="J1282" i="11"/>
  <c r="C1282" i="11"/>
  <c r="D1282" i="11"/>
  <c r="F1282" i="11"/>
  <c r="E1282" i="11"/>
  <c r="J1283" i="11"/>
  <c r="I1284" i="11"/>
  <c r="J1284" i="11"/>
  <c r="I1277" i="11"/>
  <c r="J1277" i="11"/>
  <c r="I1270" i="11"/>
  <c r="J1270" i="11"/>
  <c r="I1256" i="11"/>
  <c r="J1256" i="11"/>
  <c r="J1255" i="11"/>
  <c r="J1254" i="11"/>
  <c r="C1289" i="11"/>
  <c r="D1289" i="11"/>
  <c r="E1289" i="11"/>
  <c r="F1289" i="11"/>
  <c r="C1288" i="11"/>
  <c r="D1288" i="11"/>
  <c r="E1288" i="11"/>
  <c r="F1288" i="11"/>
  <c r="C1287" i="11"/>
  <c r="D1287" i="11"/>
  <c r="E1287" i="11"/>
  <c r="F1287" i="11"/>
  <c r="C1286" i="11"/>
  <c r="D1286" i="11"/>
  <c r="F1286" i="11"/>
  <c r="E1286" i="11"/>
  <c r="C1283" i="11"/>
  <c r="D1283" i="11"/>
  <c r="E1283" i="11"/>
  <c r="F1283" i="11"/>
  <c r="C1284" i="11"/>
  <c r="D1284" i="11"/>
  <c r="F1284" i="11"/>
  <c r="E1284" i="11"/>
  <c r="C1285" i="11"/>
  <c r="D1285" i="11"/>
  <c r="F1285" i="11"/>
  <c r="E1285" i="11"/>
  <c r="C1281" i="11"/>
  <c r="D1281" i="11"/>
  <c r="E1281" i="11"/>
  <c r="F1281" i="11"/>
  <c r="C1280" i="11"/>
  <c r="D1280" i="11"/>
  <c r="F1280" i="11"/>
  <c r="E1280" i="11"/>
  <c r="C1279" i="11"/>
  <c r="D1279" i="11"/>
  <c r="F1279" i="11"/>
  <c r="E1279" i="11"/>
  <c r="C1276" i="11"/>
  <c r="D1276" i="11"/>
  <c r="F1276" i="11"/>
  <c r="E1276" i="11"/>
  <c r="C1277" i="11"/>
  <c r="D1277" i="11"/>
  <c r="F1277" i="11"/>
  <c r="E1277" i="11"/>
  <c r="C1278" i="11"/>
  <c r="D1278" i="11"/>
  <c r="F1278" i="11"/>
  <c r="E1278" i="11"/>
  <c r="C1275" i="11"/>
  <c r="D1275" i="11"/>
  <c r="F1275" i="11"/>
  <c r="E1275" i="11"/>
  <c r="C1274" i="11"/>
  <c r="D1274" i="11"/>
  <c r="F1274" i="11"/>
  <c r="E1274" i="11"/>
  <c r="C1272" i="11"/>
  <c r="D1272" i="11"/>
  <c r="F1272" i="11"/>
  <c r="E1272" i="11"/>
  <c r="C1269" i="11"/>
  <c r="D1269" i="11"/>
  <c r="F1269" i="11"/>
  <c r="E1269" i="11"/>
  <c r="C1270" i="11"/>
  <c r="D1270" i="11"/>
  <c r="F1270" i="11"/>
  <c r="E1270" i="11"/>
  <c r="C1271" i="11"/>
  <c r="D1271" i="11"/>
  <c r="F1271" i="11"/>
  <c r="E1271" i="11"/>
  <c r="C1268" i="11"/>
  <c r="D1268" i="11"/>
  <c r="F1268" i="11"/>
  <c r="E1268" i="11"/>
  <c r="C1267" i="11"/>
  <c r="D1267" i="11"/>
  <c r="F1267" i="11"/>
  <c r="E1267" i="11"/>
  <c r="C1266" i="11"/>
  <c r="D1266" i="11"/>
  <c r="F1266" i="11"/>
  <c r="E1266" i="11"/>
  <c r="C1265" i="11"/>
  <c r="D1265" i="11"/>
  <c r="F1265" i="11"/>
  <c r="E1265" i="11"/>
  <c r="J1229" i="11"/>
  <c r="J1230" i="11"/>
  <c r="J1231" i="11"/>
  <c r="J1232" i="11"/>
  <c r="J1233" i="11"/>
  <c r="J1234" i="11"/>
  <c r="J1236" i="11"/>
  <c r="J1237" i="11"/>
  <c r="J1238" i="11"/>
  <c r="J1239" i="11"/>
  <c r="J1240" i="11"/>
  <c r="J1241" i="11"/>
  <c r="J1243" i="11"/>
  <c r="J1244" i="11"/>
  <c r="J1245" i="11"/>
  <c r="J1246" i="11"/>
  <c r="J1247" i="11"/>
  <c r="J1248" i="11"/>
  <c r="J1249" i="11"/>
  <c r="J1250" i="11"/>
  <c r="J1251" i="11"/>
  <c r="J1252" i="11"/>
  <c r="J1253" i="11"/>
  <c r="I1242" i="11"/>
  <c r="J1242" i="11"/>
  <c r="I1235" i="11"/>
  <c r="J1235" i="11"/>
  <c r="I1228" i="11"/>
  <c r="J1228" i="11"/>
  <c r="J1227" i="11"/>
  <c r="J1226" i="11"/>
  <c r="J1225" i="11"/>
  <c r="J1224" i="11"/>
  <c r="C1261" i="11"/>
  <c r="D1261" i="11"/>
  <c r="E1261" i="11"/>
  <c r="F1261" i="11"/>
  <c r="C1262" i="11"/>
  <c r="D1262" i="11"/>
  <c r="E1262" i="11"/>
  <c r="F1262" i="11"/>
  <c r="C1263" i="11"/>
  <c r="D1263" i="11"/>
  <c r="E1263" i="11"/>
  <c r="F1263" i="11"/>
  <c r="C1264" i="11"/>
  <c r="D1264" i="11"/>
  <c r="E1264" i="11"/>
  <c r="F1264" i="11"/>
  <c r="C1260" i="11"/>
  <c r="D1260" i="11"/>
  <c r="E1260" i="11"/>
  <c r="F1260" i="11"/>
  <c r="C1259" i="11"/>
  <c r="D1259" i="11"/>
  <c r="E1259" i="11"/>
  <c r="F1259" i="11"/>
  <c r="C1258" i="11"/>
  <c r="D1258" i="11"/>
  <c r="E1258" i="11"/>
  <c r="F1258" i="11"/>
  <c r="C1253" i="11"/>
  <c r="D1253" i="11"/>
  <c r="E1253" i="11"/>
  <c r="F1253" i="11"/>
  <c r="C1254" i="11"/>
  <c r="D1254" i="11"/>
  <c r="E1254" i="11"/>
  <c r="F1254" i="11"/>
  <c r="C1255" i="11"/>
  <c r="D1255" i="11"/>
  <c r="E1255" i="11"/>
  <c r="F1255" i="11"/>
  <c r="C1256" i="11"/>
  <c r="D1256" i="11"/>
  <c r="F1256" i="11"/>
  <c r="E1256" i="11"/>
  <c r="C1257" i="11"/>
  <c r="D1257" i="11"/>
  <c r="E1257" i="11"/>
  <c r="F1257" i="11"/>
  <c r="C1252" i="11"/>
  <c r="D1252" i="11"/>
  <c r="F1252" i="11"/>
  <c r="E1252" i="11"/>
  <c r="C1251" i="11"/>
  <c r="D1251" i="11"/>
  <c r="E1251" i="11"/>
  <c r="F1251" i="11"/>
  <c r="C1248" i="11"/>
  <c r="D1248" i="11"/>
  <c r="F1248" i="11"/>
  <c r="E1248" i="11"/>
  <c r="C1249" i="11"/>
  <c r="D1249" i="11"/>
  <c r="E1249" i="11"/>
  <c r="F1249" i="11"/>
  <c r="C1250" i="11"/>
  <c r="D1250" i="11"/>
  <c r="E1250" i="11"/>
  <c r="F1250" i="11"/>
  <c r="C1247" i="11"/>
  <c r="D1247" i="11"/>
  <c r="E1247" i="11"/>
  <c r="F1247" i="11"/>
  <c r="C1246" i="11"/>
  <c r="D1246" i="11"/>
  <c r="F1246" i="11"/>
  <c r="E1246" i="11"/>
  <c r="C1245" i="11"/>
  <c r="D1245" i="11"/>
  <c r="E1245" i="11"/>
  <c r="F1245" i="11"/>
  <c r="C1244" i="11"/>
  <c r="D1244" i="11"/>
  <c r="E1244" i="11"/>
  <c r="F1244" i="11"/>
  <c r="C1241" i="11"/>
  <c r="D1241" i="11"/>
  <c r="E1241" i="11"/>
  <c r="F1241" i="11"/>
  <c r="C1242" i="11"/>
  <c r="D1242" i="11"/>
  <c r="F1242" i="11"/>
  <c r="E1242" i="11"/>
  <c r="C1243" i="11"/>
  <c r="D1243" i="11"/>
  <c r="E1243" i="11"/>
  <c r="F1243" i="11"/>
  <c r="C1240" i="11"/>
  <c r="D1240" i="11"/>
  <c r="F1240" i="11"/>
  <c r="E1240" i="11"/>
  <c r="C1239" i="11"/>
  <c r="D1239" i="11"/>
  <c r="E1239" i="11"/>
  <c r="F1239" i="11"/>
  <c r="C1238" i="11"/>
  <c r="D1238" i="11"/>
  <c r="F1238" i="11"/>
  <c r="E1238" i="11"/>
  <c r="C1237" i="11"/>
  <c r="D1237" i="11"/>
  <c r="E1237" i="11"/>
  <c r="F1237" i="11"/>
  <c r="C1234" i="11"/>
  <c r="D1234" i="11"/>
  <c r="F1234" i="11"/>
  <c r="E1234" i="11"/>
  <c r="C1235" i="11"/>
  <c r="D1235" i="11"/>
  <c r="F1235" i="11"/>
  <c r="E1235" i="11"/>
  <c r="C1236" i="11"/>
  <c r="D1236" i="11"/>
  <c r="F1236" i="11"/>
  <c r="E1236" i="11"/>
  <c r="C1233" i="11"/>
  <c r="D1233" i="11"/>
  <c r="E1233" i="11"/>
  <c r="F1233" i="11"/>
  <c r="C1232" i="11"/>
  <c r="D1232" i="11"/>
  <c r="F1232" i="11"/>
  <c r="E1232" i="11"/>
  <c r="C1231" i="11"/>
  <c r="D1231" i="11"/>
  <c r="E1231" i="11"/>
  <c r="F1231" i="11"/>
  <c r="C1230" i="11"/>
  <c r="D1230" i="11"/>
  <c r="E1230" i="11"/>
  <c r="F1230" i="11"/>
  <c r="C1227" i="11"/>
  <c r="D1227" i="11"/>
  <c r="F1227" i="11"/>
  <c r="E1227" i="11"/>
  <c r="C1228" i="11"/>
  <c r="D1228" i="11"/>
  <c r="F1228" i="11"/>
  <c r="E1228" i="11"/>
  <c r="C1229" i="11"/>
  <c r="D1229" i="11"/>
  <c r="F1229" i="11"/>
  <c r="E1229" i="11"/>
  <c r="J1194" i="11"/>
  <c r="J1195" i="11"/>
  <c r="J1196" i="11"/>
  <c r="J1197" i="11"/>
  <c r="J1198" i="11"/>
  <c r="J1199" i="11"/>
  <c r="J1201" i="11"/>
  <c r="J1202" i="11"/>
  <c r="J1203" i="11"/>
  <c r="J1204" i="11"/>
  <c r="J1205" i="11"/>
  <c r="J1206" i="11"/>
  <c r="J1208" i="11"/>
  <c r="J1209" i="11"/>
  <c r="J1210" i="11"/>
  <c r="J1211" i="11"/>
  <c r="J1212" i="11"/>
  <c r="J1213" i="11"/>
  <c r="J1215" i="11"/>
  <c r="J1216" i="11"/>
  <c r="J1217" i="11"/>
  <c r="J1218" i="11"/>
  <c r="J1219" i="11"/>
  <c r="J1220" i="11"/>
  <c r="J1222" i="11"/>
  <c r="J1223" i="11"/>
  <c r="I1221" i="11"/>
  <c r="J1221" i="11"/>
  <c r="I1214" i="11"/>
  <c r="J1214" i="11"/>
  <c r="I1207" i="11"/>
  <c r="J1207" i="11"/>
  <c r="I1200" i="11"/>
  <c r="J1200" i="11"/>
  <c r="C1200" i="11"/>
  <c r="D1200" i="11"/>
  <c r="F1200" i="11"/>
  <c r="E1200" i="11"/>
  <c r="I1193" i="11"/>
  <c r="J1193" i="11"/>
  <c r="C1226" i="11"/>
  <c r="D1226" i="11"/>
  <c r="E1226" i="11"/>
  <c r="F1226" i="11"/>
  <c r="C1225" i="11"/>
  <c r="D1225" i="11"/>
  <c r="E1225" i="11"/>
  <c r="F1225" i="11"/>
  <c r="C1224" i="11"/>
  <c r="D1224" i="11"/>
  <c r="E1224" i="11"/>
  <c r="F1224" i="11"/>
  <c r="C1223" i="11"/>
  <c r="D1223" i="11"/>
  <c r="E1223" i="11"/>
  <c r="F1223" i="11"/>
  <c r="C1220" i="11"/>
  <c r="D1220" i="11"/>
  <c r="E1220" i="11"/>
  <c r="F1220" i="11"/>
  <c r="C1221" i="11"/>
  <c r="D1221" i="11"/>
  <c r="E1221" i="11"/>
  <c r="F1221" i="11"/>
  <c r="C1222" i="11"/>
  <c r="D1222" i="11"/>
  <c r="E1222" i="11"/>
  <c r="F1222" i="11"/>
  <c r="C1219" i="11"/>
  <c r="D1219" i="11"/>
  <c r="E1219" i="11"/>
  <c r="F1219" i="11"/>
  <c r="C1218" i="11"/>
  <c r="D1218" i="11"/>
  <c r="E1218" i="11"/>
  <c r="F1218" i="11"/>
  <c r="C1217" i="11"/>
  <c r="D1217" i="11"/>
  <c r="F1217" i="11"/>
  <c r="E1217" i="11"/>
  <c r="C1216" i="11"/>
  <c r="D1216" i="11"/>
  <c r="E1216" i="11"/>
  <c r="F1216" i="11"/>
  <c r="C1213" i="11"/>
  <c r="D1213" i="11"/>
  <c r="E1213" i="11"/>
  <c r="F1213" i="11"/>
  <c r="C1214" i="11"/>
  <c r="D1214" i="11"/>
  <c r="E1214" i="11"/>
  <c r="F1214" i="11"/>
  <c r="C1215" i="11"/>
  <c r="D1215" i="11"/>
  <c r="E1215" i="11"/>
  <c r="F1215" i="11"/>
  <c r="C1212" i="11"/>
  <c r="D1212" i="11"/>
  <c r="E1212" i="11"/>
  <c r="F1212" i="11"/>
  <c r="C1211" i="11"/>
  <c r="D1211" i="11"/>
  <c r="E1211" i="11"/>
  <c r="F1211" i="11"/>
  <c r="C1210" i="11"/>
  <c r="D1210" i="11"/>
  <c r="E1210" i="11"/>
  <c r="F1210" i="11"/>
  <c r="C1209" i="11"/>
  <c r="D1209" i="11"/>
  <c r="E1209" i="11"/>
  <c r="F1209" i="11"/>
  <c r="C1206" i="11"/>
  <c r="D1206" i="11"/>
  <c r="E1206" i="11"/>
  <c r="F1206" i="11"/>
  <c r="C1207" i="11"/>
  <c r="D1207" i="11"/>
  <c r="E1207" i="11"/>
  <c r="F1207" i="11"/>
  <c r="C1208" i="11"/>
  <c r="D1208" i="11"/>
  <c r="E1208" i="11"/>
  <c r="F1208" i="11"/>
  <c r="C1205" i="11"/>
  <c r="D1205" i="11"/>
  <c r="E1205" i="11"/>
  <c r="F1205" i="11"/>
  <c r="C1204" i="11"/>
  <c r="D1204" i="11"/>
  <c r="E1204" i="11"/>
  <c r="F1204" i="11"/>
  <c r="C1203" i="11"/>
  <c r="D1203" i="11"/>
  <c r="F1203" i="11"/>
  <c r="E1203" i="11"/>
  <c r="C1202" i="11"/>
  <c r="D1202" i="11"/>
  <c r="F1202" i="11"/>
  <c r="E1202" i="11"/>
  <c r="C1199" i="11"/>
  <c r="D1199" i="11"/>
  <c r="F1199" i="11"/>
  <c r="E1199" i="11"/>
  <c r="C1201" i="11"/>
  <c r="D1201" i="11"/>
  <c r="F1201" i="11"/>
  <c r="E1201" i="11"/>
  <c r="C1198" i="11"/>
  <c r="D1198" i="11"/>
  <c r="F1198" i="11"/>
  <c r="E1198" i="11"/>
  <c r="J1166" i="11"/>
  <c r="J1167" i="11"/>
  <c r="J1168" i="11"/>
  <c r="J1169" i="11"/>
  <c r="J1170" i="11"/>
  <c r="J1171" i="11"/>
  <c r="J1173" i="11"/>
  <c r="J1174" i="11"/>
  <c r="J1175" i="11"/>
  <c r="J1176" i="11"/>
  <c r="J1177" i="11"/>
  <c r="J1178" i="11"/>
  <c r="J1180" i="11"/>
  <c r="J1181" i="11"/>
  <c r="J1182" i="11"/>
  <c r="J1183" i="11"/>
  <c r="J1184" i="11"/>
  <c r="J1185" i="11"/>
  <c r="J1187" i="11"/>
  <c r="J1188" i="11"/>
  <c r="J1189" i="11"/>
  <c r="J1190" i="11"/>
  <c r="J1191" i="11"/>
  <c r="J1192" i="11"/>
  <c r="I1186" i="11"/>
  <c r="J1186" i="11"/>
  <c r="I1179" i="11"/>
  <c r="J1179" i="11"/>
  <c r="I1172" i="11"/>
  <c r="J1172" i="11"/>
  <c r="I1165" i="11"/>
  <c r="J1165" i="11"/>
  <c r="J1164" i="11"/>
  <c r="J1163" i="11"/>
  <c r="J1162" i="11"/>
  <c r="C1197" i="11"/>
  <c r="D1197" i="11"/>
  <c r="E1197" i="11"/>
  <c r="F1197" i="11"/>
  <c r="C1196" i="11"/>
  <c r="D1196" i="11"/>
  <c r="F1196" i="11"/>
  <c r="E1196" i="11"/>
  <c r="C1195" i="11"/>
  <c r="D1195" i="11"/>
  <c r="F1195" i="11"/>
  <c r="E1195" i="11"/>
  <c r="C1194" i="11"/>
  <c r="D1194" i="11"/>
  <c r="E1194" i="11"/>
  <c r="F1194" i="11"/>
  <c r="C1192" i="11"/>
  <c r="D1192" i="11"/>
  <c r="F1192" i="11"/>
  <c r="E1192" i="11"/>
  <c r="C1193" i="11"/>
  <c r="D1193" i="11"/>
  <c r="E1193" i="11"/>
  <c r="F1193" i="11"/>
  <c r="C1191" i="11"/>
  <c r="D1191" i="11"/>
  <c r="E1191" i="11"/>
  <c r="F1191" i="11"/>
  <c r="C1190" i="11"/>
  <c r="D1190" i="11"/>
  <c r="E1190" i="11"/>
  <c r="F1190" i="11"/>
  <c r="C1189" i="11"/>
  <c r="D1189" i="11"/>
  <c r="E1189" i="11"/>
  <c r="F1189" i="11"/>
  <c r="C1188" i="11"/>
  <c r="D1188" i="11"/>
  <c r="E1188" i="11"/>
  <c r="F1188" i="11"/>
  <c r="C1185" i="11"/>
  <c r="D1185" i="11"/>
  <c r="E1185" i="11"/>
  <c r="F1185" i="11"/>
  <c r="C1186" i="11"/>
  <c r="D1186" i="11"/>
  <c r="E1186" i="11"/>
  <c r="F1186" i="11"/>
  <c r="C1187" i="11"/>
  <c r="D1187" i="11"/>
  <c r="E1187" i="11"/>
  <c r="F1187" i="11"/>
  <c r="C1184" i="11"/>
  <c r="D1184" i="11"/>
  <c r="E1184" i="11"/>
  <c r="F1184" i="11"/>
  <c r="C1183" i="11"/>
  <c r="D1183" i="11"/>
  <c r="E1183" i="11"/>
  <c r="F1183" i="11"/>
  <c r="C1182" i="11"/>
  <c r="D1182" i="11"/>
  <c r="E1182" i="11"/>
  <c r="F1182" i="11"/>
  <c r="C1181" i="11"/>
  <c r="D1181" i="11"/>
  <c r="E1181" i="11"/>
  <c r="F1181" i="11"/>
  <c r="C1178" i="11"/>
  <c r="D1178" i="11"/>
  <c r="E1178" i="11"/>
  <c r="F1178" i="11"/>
  <c r="C1179" i="11"/>
  <c r="D1179" i="11"/>
  <c r="E1179" i="11"/>
  <c r="F1179" i="11"/>
  <c r="C1180" i="11"/>
  <c r="D1180" i="11"/>
  <c r="E1180" i="11"/>
  <c r="F1180" i="11"/>
  <c r="C1177" i="11"/>
  <c r="D1177" i="11"/>
  <c r="E1177" i="11"/>
  <c r="F1177" i="11"/>
  <c r="C1176" i="11"/>
  <c r="D1176" i="11"/>
  <c r="E1176" i="11"/>
  <c r="F1176" i="11"/>
  <c r="C1175" i="11"/>
  <c r="D1175" i="11"/>
  <c r="E1175" i="11"/>
  <c r="F1175" i="11"/>
  <c r="C1174" i="11"/>
  <c r="D1174" i="11"/>
  <c r="E1174" i="11"/>
  <c r="F1174" i="11"/>
  <c r="C1170" i="11"/>
  <c r="D1170" i="11"/>
  <c r="E1170" i="11"/>
  <c r="F1170" i="11"/>
  <c r="C1171" i="11"/>
  <c r="D1171" i="11"/>
  <c r="E1171" i="11"/>
  <c r="F1171" i="11"/>
  <c r="C1172" i="11"/>
  <c r="D1172" i="11"/>
  <c r="E1172" i="11"/>
  <c r="F1172" i="11"/>
  <c r="C1173" i="11"/>
  <c r="D1173" i="11"/>
  <c r="E1173" i="11"/>
  <c r="F1173" i="11"/>
  <c r="C1169" i="11"/>
  <c r="D1169" i="11"/>
  <c r="E1169" i="11"/>
  <c r="F1169" i="11"/>
  <c r="J1138" i="11"/>
  <c r="J1139" i="11"/>
  <c r="J1140" i="11"/>
  <c r="J1141" i="11"/>
  <c r="J1142" i="11"/>
  <c r="J1143" i="11"/>
  <c r="J1145" i="11"/>
  <c r="J1146" i="11"/>
  <c r="J1147" i="11"/>
  <c r="J1148" i="11"/>
  <c r="J1149" i="11"/>
  <c r="J1150" i="11"/>
  <c r="J1152" i="11"/>
  <c r="J1153" i="11"/>
  <c r="J1154" i="11"/>
  <c r="J1155" i="11"/>
  <c r="J1156" i="11"/>
  <c r="J1157" i="11"/>
  <c r="J1159" i="11"/>
  <c r="J1160" i="11"/>
  <c r="J1161" i="11"/>
  <c r="I1158" i="11"/>
  <c r="J1158" i="11"/>
  <c r="I1151" i="11"/>
  <c r="J1151" i="11"/>
  <c r="I1144" i="11"/>
  <c r="J1144" i="11"/>
  <c r="I1137" i="11"/>
  <c r="J1137" i="11"/>
  <c r="J1136" i="11"/>
  <c r="J1135" i="11"/>
  <c r="J1134" i="11"/>
  <c r="J1133" i="11"/>
  <c r="J1132" i="11"/>
  <c r="C1168" i="11"/>
  <c r="D1168" i="11"/>
  <c r="E1168" i="11"/>
  <c r="F1168" i="11"/>
  <c r="C1167" i="11"/>
  <c r="D1167" i="11"/>
  <c r="F1167" i="11"/>
  <c r="E1167" i="11"/>
  <c r="C1164" i="11"/>
  <c r="D1164" i="11"/>
  <c r="E1164" i="11"/>
  <c r="F1164" i="11"/>
  <c r="C1165" i="11"/>
  <c r="D1165" i="11"/>
  <c r="E1165" i="11"/>
  <c r="F1165" i="11"/>
  <c r="C1166" i="11"/>
  <c r="D1166" i="11"/>
  <c r="E1166" i="11"/>
  <c r="F1166" i="11"/>
  <c r="C1163" i="11"/>
  <c r="D1163" i="11"/>
  <c r="E1163" i="11"/>
  <c r="F1163" i="11"/>
  <c r="C1162" i="11"/>
  <c r="D1162" i="11"/>
  <c r="E1162" i="11"/>
  <c r="F1162" i="11"/>
  <c r="C1161" i="11"/>
  <c r="D1161" i="11"/>
  <c r="F1161" i="11"/>
  <c r="E1161" i="11"/>
  <c r="C1160" i="11"/>
  <c r="D1160" i="11"/>
  <c r="E1160" i="11"/>
  <c r="F1160" i="11"/>
  <c r="C1155" i="11"/>
  <c r="D1155" i="11"/>
  <c r="E1155" i="11"/>
  <c r="F1155" i="11"/>
  <c r="C1156" i="11"/>
  <c r="D1156" i="11"/>
  <c r="E1156" i="11"/>
  <c r="F1156" i="11"/>
  <c r="C1157" i="11"/>
  <c r="D1157" i="11"/>
  <c r="E1157" i="11"/>
  <c r="F1157" i="11"/>
  <c r="C1158" i="11"/>
  <c r="D1158" i="11"/>
  <c r="F1158" i="11"/>
  <c r="E1158" i="11"/>
  <c r="C1159" i="11"/>
  <c r="D1159" i="11"/>
  <c r="E1159" i="11"/>
  <c r="F1159" i="11"/>
  <c r="C1154" i="11"/>
  <c r="D1154" i="11"/>
  <c r="E1154" i="11"/>
  <c r="F1154" i="11"/>
  <c r="C1153" i="11"/>
  <c r="D1153" i="11"/>
  <c r="E1153" i="11"/>
  <c r="F1153" i="11"/>
  <c r="C1150" i="11"/>
  <c r="D1150" i="11"/>
  <c r="E1150" i="11"/>
  <c r="F1150" i="11"/>
  <c r="C1151" i="11"/>
  <c r="D1151" i="11"/>
  <c r="E1151" i="11"/>
  <c r="F1151" i="11"/>
  <c r="C1152" i="11"/>
  <c r="D1152" i="11"/>
  <c r="E1152" i="11"/>
  <c r="F1152" i="11"/>
  <c r="C1149" i="11"/>
  <c r="D1149" i="11"/>
  <c r="E1149" i="11"/>
  <c r="F1149" i="11"/>
  <c r="C1148" i="11"/>
  <c r="D1148" i="11"/>
  <c r="F1148" i="11"/>
  <c r="E1148" i="11"/>
  <c r="C1147" i="11"/>
  <c r="D1147" i="11"/>
  <c r="E1147" i="11"/>
  <c r="F1147" i="11"/>
  <c r="C1146" i="11"/>
  <c r="D1146" i="11"/>
  <c r="E1146" i="11"/>
  <c r="F1146" i="11"/>
  <c r="C1143" i="11"/>
  <c r="D1143" i="11"/>
  <c r="E1143" i="11"/>
  <c r="F1143" i="11"/>
  <c r="C1144" i="11"/>
  <c r="D1144" i="11"/>
  <c r="E1144" i="11"/>
  <c r="F1144" i="11"/>
  <c r="C1145" i="11"/>
  <c r="D1145" i="11"/>
  <c r="E1145" i="11"/>
  <c r="F1145" i="11"/>
  <c r="C1142" i="11"/>
  <c r="D1142" i="11"/>
  <c r="E1142" i="11"/>
  <c r="F1142" i="11"/>
  <c r="C1141" i="11"/>
  <c r="D1141" i="11"/>
  <c r="E1141" i="11"/>
  <c r="F1141" i="11"/>
  <c r="C1140" i="11"/>
  <c r="D1140" i="11"/>
  <c r="E1140" i="11"/>
  <c r="F1140" i="11"/>
  <c r="J1117" i="11"/>
  <c r="J1118" i="11"/>
  <c r="J1119" i="11"/>
  <c r="J1120" i="11"/>
  <c r="J1121" i="11"/>
  <c r="J1122" i="11"/>
  <c r="J1124" i="11"/>
  <c r="J1125" i="11"/>
  <c r="J1126" i="11"/>
  <c r="J1127" i="11"/>
  <c r="J1128" i="11"/>
  <c r="J1129" i="11"/>
  <c r="J1131" i="11"/>
  <c r="I1130" i="11"/>
  <c r="J1130" i="11"/>
  <c r="I1123" i="11"/>
  <c r="J1123" i="11"/>
  <c r="I1116" i="11"/>
  <c r="J1116" i="11"/>
  <c r="J1115" i="11"/>
  <c r="J1114" i="11"/>
  <c r="J1113" i="11"/>
  <c r="I1109" i="11"/>
  <c r="J1109" i="11"/>
  <c r="I1102" i="11"/>
  <c r="J1102" i="11"/>
  <c r="J1112" i="11"/>
  <c r="J1111" i="11"/>
  <c r="J1110" i="11"/>
  <c r="J1108" i="11"/>
  <c r="J1107" i="11"/>
  <c r="J1106" i="11"/>
  <c r="J1105" i="11"/>
  <c r="J1104" i="11"/>
  <c r="J1103" i="11"/>
  <c r="J1101" i="11"/>
  <c r="C1139" i="11"/>
  <c r="D1139" i="11"/>
  <c r="E1139" i="11"/>
  <c r="F1139" i="11"/>
  <c r="C1136" i="11"/>
  <c r="D1136" i="11"/>
  <c r="E1136" i="11"/>
  <c r="F1136" i="11"/>
  <c r="C1137" i="11"/>
  <c r="D1137" i="11"/>
  <c r="F1137" i="11"/>
  <c r="E1137" i="11"/>
  <c r="C1138" i="11"/>
  <c r="D1138" i="11"/>
  <c r="E1138" i="11"/>
  <c r="F1138" i="11"/>
  <c r="C1135" i="11"/>
  <c r="D1135" i="11"/>
  <c r="E1135" i="11"/>
  <c r="F1135" i="11"/>
  <c r="C1134" i="11"/>
  <c r="D1134" i="11"/>
  <c r="E1134" i="11"/>
  <c r="F1134" i="11"/>
  <c r="C1133" i="11"/>
  <c r="D1133" i="11"/>
  <c r="E1133" i="11"/>
  <c r="F1133" i="11"/>
  <c r="C1132" i="11"/>
  <c r="D1132" i="11"/>
  <c r="E1132" i="11"/>
  <c r="F1132" i="11"/>
  <c r="C1129" i="11"/>
  <c r="D1129" i="11"/>
  <c r="E1129" i="11"/>
  <c r="F1129" i="11"/>
  <c r="C1130" i="11"/>
  <c r="D1130" i="11"/>
  <c r="E1130" i="11"/>
  <c r="F1130" i="11"/>
  <c r="C1131" i="11"/>
  <c r="D1131" i="11"/>
  <c r="F1131" i="11"/>
  <c r="E1131" i="11"/>
  <c r="C1128" i="11"/>
  <c r="D1128" i="11"/>
  <c r="F1128" i="11"/>
  <c r="E1128" i="11"/>
  <c r="C1127" i="11"/>
  <c r="D1127" i="11"/>
  <c r="E1127" i="11"/>
  <c r="F1127" i="11"/>
  <c r="C1126" i="11"/>
  <c r="D1126" i="11"/>
  <c r="E1126" i="11"/>
  <c r="F1126" i="11"/>
  <c r="C1125" i="11"/>
  <c r="D1125" i="11"/>
  <c r="E1125" i="11"/>
  <c r="F1125" i="11"/>
  <c r="C1122" i="11"/>
  <c r="D1122" i="11"/>
  <c r="E1122" i="11"/>
  <c r="F1122" i="11"/>
  <c r="C1123" i="11"/>
  <c r="D1123" i="11"/>
  <c r="E1123" i="11"/>
  <c r="F1123" i="11"/>
  <c r="C1124" i="11"/>
  <c r="D1124" i="11"/>
  <c r="E1124" i="11"/>
  <c r="F1124" i="11"/>
  <c r="C1121" i="11"/>
  <c r="D1121" i="11"/>
  <c r="E1121" i="11"/>
  <c r="F1121" i="11"/>
  <c r="C1100" i="11"/>
  <c r="D1100" i="11"/>
  <c r="E1100" i="11"/>
  <c r="F1100" i="11"/>
  <c r="C1101" i="11"/>
  <c r="D1101" i="11"/>
  <c r="E1101" i="11"/>
  <c r="F1101" i="11"/>
  <c r="C1102" i="11"/>
  <c r="D1102" i="11"/>
  <c r="E1102" i="11"/>
  <c r="F1102" i="11"/>
  <c r="C1103" i="11"/>
  <c r="D1103" i="11"/>
  <c r="E1103" i="11"/>
  <c r="F1103" i="11"/>
  <c r="C1120" i="11"/>
  <c r="D1120" i="11"/>
  <c r="E1120" i="11"/>
  <c r="F1120" i="11"/>
  <c r="C1119" i="11"/>
  <c r="D1119" i="11"/>
  <c r="E1119" i="11"/>
  <c r="F1119" i="11"/>
  <c r="C1118" i="11"/>
  <c r="D1118" i="11"/>
  <c r="F1118" i="11"/>
  <c r="E1118" i="11"/>
  <c r="C1115" i="11"/>
  <c r="D1115" i="11"/>
  <c r="E1115" i="11"/>
  <c r="F1115" i="11"/>
  <c r="C1116" i="11"/>
  <c r="D1116" i="11"/>
  <c r="E1116" i="11"/>
  <c r="F1116" i="11"/>
  <c r="C1117" i="11"/>
  <c r="D1117" i="11"/>
  <c r="E1117" i="11"/>
  <c r="F1117" i="11"/>
  <c r="C1114" i="11"/>
  <c r="D1114" i="11"/>
  <c r="E1114" i="11"/>
  <c r="F1114" i="11"/>
  <c r="C1113" i="11"/>
  <c r="D1113" i="11"/>
  <c r="F1113" i="11"/>
  <c r="E1113" i="11"/>
  <c r="C1112" i="11"/>
  <c r="D1112" i="11"/>
  <c r="E1112" i="11"/>
  <c r="F1112" i="11"/>
  <c r="C1111" i="11"/>
  <c r="D1111" i="11"/>
  <c r="E1111" i="11"/>
  <c r="F1111" i="11"/>
  <c r="G5" i="30"/>
  <c r="F5" i="30"/>
  <c r="J1082" i="11"/>
  <c r="J1083" i="11"/>
  <c r="J1084" i="11"/>
  <c r="J1085" i="11"/>
  <c r="J1086" i="11"/>
  <c r="J1087" i="11"/>
  <c r="J1089" i="11"/>
  <c r="J1090" i="11"/>
  <c r="J1091" i="11"/>
  <c r="J1092" i="11"/>
  <c r="J1093" i="11"/>
  <c r="J1094" i="11"/>
  <c r="J1096" i="11"/>
  <c r="J1097" i="11"/>
  <c r="J1098" i="11"/>
  <c r="J1099" i="11"/>
  <c r="J1100" i="11"/>
  <c r="I1095" i="11"/>
  <c r="J1095" i="11"/>
  <c r="I1088" i="11"/>
  <c r="J1088" i="11"/>
  <c r="I1081" i="11"/>
  <c r="J1081" i="11"/>
  <c r="J1080" i="11"/>
  <c r="J1079" i="11"/>
  <c r="J1078" i="11"/>
  <c r="J1077" i="11"/>
  <c r="J1076" i="11"/>
  <c r="J1075" i="11"/>
  <c r="J1074" i="11"/>
  <c r="J1073" i="11"/>
  <c r="J1072" i="11"/>
  <c r="J1071" i="11"/>
  <c r="C1110" i="11"/>
  <c r="D1110" i="11"/>
  <c r="E1110" i="11"/>
  <c r="F1110" i="11"/>
  <c r="C1108" i="11"/>
  <c r="D1108" i="11"/>
  <c r="E1108" i="11"/>
  <c r="F1108" i="11"/>
  <c r="C1109" i="11"/>
  <c r="D1109" i="11"/>
  <c r="E1109" i="11"/>
  <c r="F1109" i="11"/>
  <c r="C1106" i="11"/>
  <c r="D1106" i="11"/>
  <c r="F1106" i="11"/>
  <c r="E1106" i="11"/>
  <c r="C1107" i="11"/>
  <c r="D1107" i="11"/>
  <c r="E1107" i="11"/>
  <c r="F1107" i="11"/>
  <c r="C1105" i="11"/>
  <c r="D1105" i="11"/>
  <c r="E1105" i="11"/>
  <c r="F1105" i="11"/>
  <c r="C1104" i="11"/>
  <c r="D1104" i="11"/>
  <c r="E1104" i="11"/>
  <c r="F1104" i="11"/>
  <c r="C1099" i="11"/>
  <c r="D1099" i="11"/>
  <c r="E1099" i="11"/>
  <c r="F1099" i="11"/>
  <c r="C1098" i="11"/>
  <c r="D1098" i="11"/>
  <c r="E1098" i="11"/>
  <c r="F1098" i="11"/>
  <c r="D1095" i="11"/>
  <c r="D1096" i="11"/>
  <c r="C1096" i="11"/>
  <c r="F1096" i="11"/>
  <c r="E1096" i="11"/>
  <c r="D1097" i="11"/>
  <c r="C1097" i="11"/>
  <c r="E1097" i="11"/>
  <c r="F1097" i="11"/>
  <c r="C1094" i="11"/>
  <c r="D1094" i="11"/>
  <c r="E1094" i="11"/>
  <c r="F1094" i="11"/>
  <c r="C1095" i="11"/>
  <c r="E1095" i="11"/>
  <c r="F1095" i="11"/>
  <c r="C1093" i="11"/>
  <c r="D1093" i="11"/>
  <c r="E1093" i="11"/>
  <c r="F1093" i="11"/>
  <c r="C1092" i="11"/>
  <c r="D1092" i="11"/>
  <c r="F1092" i="11"/>
  <c r="E1092" i="11"/>
  <c r="C1091" i="11"/>
  <c r="D1091" i="11"/>
  <c r="E1091" i="11"/>
  <c r="F1091" i="11"/>
  <c r="C1090" i="11"/>
  <c r="D1090" i="11"/>
  <c r="E1090" i="11"/>
  <c r="F1090" i="11"/>
  <c r="C1087" i="11"/>
  <c r="D1087" i="11"/>
  <c r="E1087" i="11"/>
  <c r="F1087" i="11"/>
  <c r="C1088" i="11"/>
  <c r="D1088" i="11"/>
  <c r="E1088" i="11"/>
  <c r="F1088" i="11"/>
  <c r="C1089" i="11"/>
  <c r="D1089" i="11"/>
  <c r="E1089" i="11"/>
  <c r="F1089" i="11"/>
  <c r="C1086" i="11"/>
  <c r="D1086" i="11"/>
  <c r="E1086" i="11"/>
  <c r="F1086" i="11"/>
  <c r="C1085" i="11"/>
  <c r="D1085" i="11"/>
  <c r="F1085" i="11"/>
  <c r="E1085" i="11"/>
  <c r="C1084" i="11"/>
  <c r="D1084" i="11"/>
  <c r="E1084" i="11"/>
  <c r="F1084" i="11"/>
  <c r="C1083" i="11"/>
  <c r="D1083" i="11"/>
  <c r="E1083" i="11"/>
  <c r="F1083" i="11"/>
  <c r="C1080" i="11"/>
  <c r="D1080" i="11"/>
  <c r="E1080" i="11"/>
  <c r="F1080" i="11"/>
  <c r="C1081" i="11"/>
  <c r="D1081" i="11"/>
  <c r="E1081" i="11"/>
  <c r="F1081" i="11"/>
  <c r="C1082" i="11"/>
  <c r="D1082" i="11"/>
  <c r="E1082" i="11"/>
  <c r="F1082" i="11"/>
  <c r="AS24" i="2"/>
  <c r="C1079" i="11"/>
  <c r="D1079" i="11"/>
  <c r="F1079" i="11"/>
  <c r="E1079" i="11"/>
  <c r="C1078" i="11"/>
  <c r="D1078" i="11"/>
  <c r="E1078" i="11"/>
  <c r="F1078" i="11"/>
  <c r="C1077" i="11"/>
  <c r="D1077" i="11"/>
  <c r="E1077" i="11"/>
  <c r="F1077" i="11"/>
  <c r="C1076" i="11"/>
  <c r="D1076" i="11"/>
  <c r="E1076" i="11"/>
  <c r="F1076" i="11"/>
  <c r="G1076" i="11"/>
  <c r="J1040" i="11"/>
  <c r="J1041" i="11"/>
  <c r="J1042" i="11"/>
  <c r="J1043" i="11"/>
  <c r="J1044" i="11"/>
  <c r="J1045" i="11"/>
  <c r="J1047" i="11"/>
  <c r="J1048" i="11"/>
  <c r="J1049" i="11"/>
  <c r="J1050" i="11"/>
  <c r="J1051" i="11"/>
  <c r="J1052" i="11"/>
  <c r="J1054" i="11"/>
  <c r="J1055" i="11"/>
  <c r="J1056" i="11"/>
  <c r="J1057" i="11"/>
  <c r="J1058" i="11"/>
  <c r="J1059" i="11"/>
  <c r="J1060" i="11"/>
  <c r="J1061" i="11"/>
  <c r="J1062" i="11"/>
  <c r="J1063" i="11"/>
  <c r="J1064" i="11"/>
  <c r="J1065" i="11"/>
  <c r="J1066" i="11"/>
  <c r="J1068" i="11"/>
  <c r="J1069" i="11"/>
  <c r="J1070" i="11"/>
  <c r="I1067" i="11"/>
  <c r="J1067" i="11"/>
  <c r="I1053" i="11"/>
  <c r="J1053" i="11"/>
  <c r="I1046" i="11"/>
  <c r="J1046" i="11"/>
  <c r="C1071" i="11"/>
  <c r="D1071" i="11"/>
  <c r="E1071" i="11"/>
  <c r="F1071" i="11"/>
  <c r="C1072" i="11"/>
  <c r="D1072" i="11"/>
  <c r="E1072" i="11"/>
  <c r="F1072" i="11"/>
  <c r="C1073" i="11"/>
  <c r="D1073" i="11"/>
  <c r="E1073" i="11"/>
  <c r="F1073" i="11"/>
  <c r="C1074" i="11"/>
  <c r="D1074" i="11"/>
  <c r="E1074" i="11"/>
  <c r="F1074" i="11"/>
  <c r="C1075" i="11"/>
  <c r="D1075" i="11"/>
  <c r="E1075" i="11"/>
  <c r="F1075" i="11"/>
  <c r="C1070" i="11"/>
  <c r="D1070" i="11"/>
  <c r="E1070" i="11"/>
  <c r="F1070" i="11"/>
  <c r="C1069" i="11"/>
  <c r="D1069" i="11"/>
  <c r="E1069" i="11"/>
  <c r="F1069" i="11"/>
  <c r="C1066" i="11"/>
  <c r="D1066" i="11"/>
  <c r="E1066" i="11"/>
  <c r="F1066" i="11"/>
  <c r="C1067" i="11"/>
  <c r="D1067" i="11"/>
  <c r="E1067" i="11"/>
  <c r="F1067" i="11"/>
  <c r="C1068" i="11"/>
  <c r="D1068" i="11"/>
  <c r="E1068" i="11"/>
  <c r="F1068" i="11"/>
  <c r="C1065" i="11"/>
  <c r="D1065" i="11"/>
  <c r="E1065" i="11"/>
  <c r="F1065" i="11"/>
  <c r="C1064" i="11"/>
  <c r="D1064" i="11"/>
  <c r="F1064" i="11"/>
  <c r="E1064" i="11"/>
  <c r="C1063" i="11"/>
  <c r="D1063" i="11"/>
  <c r="E1063" i="11"/>
  <c r="F1063" i="11"/>
  <c r="C1062" i="11"/>
  <c r="D1062" i="11"/>
  <c r="E1062" i="11"/>
  <c r="F1062" i="11"/>
  <c r="C1059" i="11"/>
  <c r="D1059" i="11"/>
  <c r="F1059" i="11"/>
  <c r="E1059" i="11"/>
  <c r="C1060" i="11"/>
  <c r="D1060" i="11"/>
  <c r="F1060" i="11"/>
  <c r="E1060" i="11"/>
  <c r="C1061" i="11"/>
  <c r="D1061" i="11"/>
  <c r="E1061" i="11"/>
  <c r="F1061" i="11"/>
  <c r="C1058" i="11"/>
  <c r="D1058" i="11"/>
  <c r="E1058" i="11"/>
  <c r="F1058" i="11"/>
  <c r="C1057" i="11"/>
  <c r="D1057" i="11"/>
  <c r="E1057" i="11"/>
  <c r="F1057" i="11"/>
  <c r="C1056" i="11"/>
  <c r="D1056" i="11"/>
  <c r="E1056" i="11"/>
  <c r="F1056" i="11"/>
  <c r="C1055" i="11"/>
  <c r="D1055" i="11"/>
  <c r="E1055" i="11"/>
  <c r="F1055" i="11"/>
  <c r="C1052" i="11"/>
  <c r="D1052" i="11"/>
  <c r="E1052" i="11"/>
  <c r="F1052" i="11"/>
  <c r="C1053" i="11"/>
  <c r="D1053" i="11"/>
  <c r="E1053" i="11"/>
  <c r="F1053" i="11"/>
  <c r="G1053" i="11"/>
  <c r="K1053" i="11"/>
  <c r="C1054" i="11"/>
  <c r="D1054" i="11"/>
  <c r="E1054" i="11"/>
  <c r="F1054" i="11"/>
  <c r="C1051" i="11"/>
  <c r="D1051" i="11"/>
  <c r="E1051" i="11"/>
  <c r="F1051" i="11"/>
  <c r="C1050" i="11"/>
  <c r="D1050" i="11"/>
  <c r="E1050" i="11"/>
  <c r="F1050" i="11"/>
  <c r="C1049" i="11"/>
  <c r="D1049" i="11"/>
  <c r="E1049" i="11"/>
  <c r="F1049" i="11"/>
  <c r="C1048" i="11"/>
  <c r="D1048" i="11"/>
  <c r="E1048" i="11"/>
  <c r="F1048" i="11"/>
  <c r="C1045" i="11"/>
  <c r="D1045" i="11"/>
  <c r="E1045" i="11"/>
  <c r="F1045" i="11"/>
  <c r="C1046" i="11"/>
  <c r="D1046" i="11"/>
  <c r="E1046" i="11"/>
  <c r="F1046" i="11"/>
  <c r="C1047" i="11"/>
  <c r="D1047" i="11"/>
  <c r="E1047" i="11"/>
  <c r="F1047" i="11"/>
  <c r="AA463" i="11"/>
  <c r="AA464" i="11"/>
  <c r="AA465" i="11"/>
  <c r="AA466" i="11"/>
  <c r="AA467" i="11"/>
  <c r="AA468" i="11"/>
  <c r="AA469" i="11"/>
  <c r="AA470" i="11"/>
  <c r="AA471" i="11"/>
  <c r="AA472" i="11"/>
  <c r="AA473" i="11"/>
  <c r="AA474" i="11"/>
  <c r="AA475" i="11"/>
  <c r="AA476" i="11"/>
  <c r="AA477" i="11"/>
  <c r="AA478" i="11"/>
  <c r="AA479" i="11"/>
  <c r="AA480" i="11"/>
  <c r="AA481" i="11"/>
  <c r="AA482" i="11"/>
  <c r="AA483" i="11"/>
  <c r="J1012" i="11"/>
  <c r="J1013" i="11"/>
  <c r="J1014" i="11"/>
  <c r="J1015" i="11"/>
  <c r="J1016" i="11"/>
  <c r="J1017" i="11"/>
  <c r="J1019" i="11"/>
  <c r="J1020" i="11"/>
  <c r="J1021" i="11"/>
  <c r="J1022" i="11"/>
  <c r="J1023" i="11"/>
  <c r="J1024" i="11"/>
  <c r="J1026" i="11"/>
  <c r="J1027" i="11"/>
  <c r="J1028" i="11"/>
  <c r="J1029" i="11"/>
  <c r="J1030" i="11"/>
  <c r="J1031" i="11"/>
  <c r="J1033" i="11"/>
  <c r="J1034" i="11"/>
  <c r="J1035" i="11"/>
  <c r="J1036" i="11"/>
  <c r="J1037" i="11"/>
  <c r="J1038" i="11"/>
  <c r="J1011" i="11"/>
  <c r="I1039" i="11"/>
  <c r="J1039" i="11"/>
  <c r="I1032" i="11"/>
  <c r="J1032" i="11"/>
  <c r="I1025" i="11"/>
  <c r="J1025" i="11"/>
  <c r="I1018" i="11"/>
  <c r="J1018" i="11"/>
  <c r="F1044" i="11"/>
  <c r="E1044" i="11"/>
  <c r="D1044" i="11"/>
  <c r="C1044" i="11"/>
  <c r="C1043" i="11"/>
  <c r="D1043" i="11"/>
  <c r="E1043" i="11"/>
  <c r="F1043" i="11"/>
  <c r="G1043" i="11"/>
  <c r="K1043" i="11"/>
  <c r="C1042" i="11"/>
  <c r="D1042" i="11"/>
  <c r="F1042" i="11"/>
  <c r="E1042" i="11"/>
  <c r="C1041" i="11"/>
  <c r="D1041" i="11"/>
  <c r="E1041" i="11"/>
  <c r="F1041" i="11"/>
  <c r="C1037" i="11"/>
  <c r="D1037" i="11"/>
  <c r="E1037" i="11"/>
  <c r="F1037" i="11"/>
  <c r="C1038" i="11"/>
  <c r="D1038" i="11"/>
  <c r="E1038" i="11"/>
  <c r="F1038" i="11"/>
  <c r="C1039" i="11"/>
  <c r="D1039" i="11"/>
  <c r="E1039" i="11"/>
  <c r="F1039" i="11"/>
  <c r="C1040" i="11"/>
  <c r="D1040" i="11"/>
  <c r="E1040" i="11"/>
  <c r="F1040" i="11"/>
  <c r="C1036" i="11"/>
  <c r="D1036" i="11"/>
  <c r="E1036" i="11"/>
  <c r="F1036" i="11"/>
  <c r="C1035" i="11"/>
  <c r="D1035" i="11"/>
  <c r="E1035" i="11"/>
  <c r="F1035" i="11"/>
  <c r="C1034" i="11"/>
  <c r="D1034" i="11"/>
  <c r="E1034" i="11"/>
  <c r="F1034" i="11"/>
  <c r="C1031" i="11"/>
  <c r="D1031" i="11"/>
  <c r="E1031" i="11"/>
  <c r="F1031" i="11"/>
  <c r="C1032" i="11"/>
  <c r="D1032" i="11"/>
  <c r="E1032" i="11"/>
  <c r="F1032" i="11"/>
  <c r="C1033" i="11"/>
  <c r="D1033" i="11"/>
  <c r="E1033" i="11"/>
  <c r="F1033" i="11"/>
  <c r="C1030" i="11"/>
  <c r="D1030" i="11"/>
  <c r="E1030" i="11"/>
  <c r="F1030" i="11"/>
  <c r="C1029" i="11"/>
  <c r="D1029" i="11"/>
  <c r="E1029" i="11"/>
  <c r="F1029" i="11"/>
  <c r="C1028" i="11"/>
  <c r="D1028" i="11"/>
  <c r="E1028" i="11"/>
  <c r="F1028" i="11"/>
  <c r="G1028" i="11"/>
  <c r="C1027" i="11"/>
  <c r="D1027" i="11"/>
  <c r="E1027" i="11"/>
  <c r="F1027" i="11"/>
  <c r="C1025" i="11"/>
  <c r="D1025" i="11"/>
  <c r="E1025" i="11"/>
  <c r="F1025" i="11"/>
  <c r="C1026" i="11"/>
  <c r="D1026" i="11"/>
  <c r="E1026" i="11"/>
  <c r="F1026" i="11"/>
  <c r="C1024" i="11"/>
  <c r="D1024" i="11"/>
  <c r="E1024" i="11"/>
  <c r="F1024" i="11"/>
  <c r="C1022" i="11"/>
  <c r="D1022" i="11"/>
  <c r="E1022" i="11"/>
  <c r="F1022" i="11"/>
  <c r="C1023" i="11"/>
  <c r="D1023" i="11"/>
  <c r="E1023" i="11"/>
  <c r="F1023" i="11"/>
  <c r="C1021" i="11"/>
  <c r="D1021" i="11"/>
  <c r="E1021" i="11"/>
  <c r="F1021" i="11"/>
  <c r="C1020" i="11"/>
  <c r="D1020" i="11"/>
  <c r="E1020" i="11"/>
  <c r="F1020" i="11"/>
  <c r="G2" i="30"/>
  <c r="F2" i="30"/>
  <c r="H2" i="30"/>
  <c r="D15" i="30"/>
  <c r="D14" i="30"/>
  <c r="H11" i="30"/>
  <c r="I11" i="30"/>
  <c r="H10" i="30"/>
  <c r="I10" i="30"/>
  <c r="H9" i="30"/>
  <c r="I9" i="30"/>
  <c r="H8" i="30"/>
  <c r="I8" i="30"/>
  <c r="H7" i="30"/>
  <c r="I7" i="30"/>
  <c r="H6" i="30"/>
  <c r="I6" i="30"/>
  <c r="H5" i="30"/>
  <c r="I5" i="30"/>
  <c r="H4" i="30"/>
  <c r="I4" i="30"/>
  <c r="H3" i="30"/>
  <c r="AZ22" i="2"/>
  <c r="AY22" i="2"/>
  <c r="AX22" i="2"/>
  <c r="AW22" i="2"/>
  <c r="AS22" i="2"/>
  <c r="AR22" i="2"/>
  <c r="AQ22" i="2"/>
  <c r="BA16" i="2"/>
  <c r="BA22" i="2"/>
  <c r="BA26" i="2"/>
  <c r="AV16" i="2"/>
  <c r="AV22" i="2"/>
  <c r="AT16" i="2"/>
  <c r="AT22" i="2"/>
  <c r="C1017" i="11"/>
  <c r="D1017" i="11"/>
  <c r="E1017" i="11"/>
  <c r="F1017" i="11"/>
  <c r="C1018" i="11"/>
  <c r="D1018" i="11"/>
  <c r="E1018" i="11"/>
  <c r="F1018" i="11"/>
  <c r="C1019" i="11"/>
  <c r="D1019" i="11"/>
  <c r="E1019" i="11"/>
  <c r="F1019" i="11"/>
  <c r="I997" i="11"/>
  <c r="J997" i="11"/>
  <c r="I990" i="11"/>
  <c r="J990" i="11"/>
  <c r="I983" i="11"/>
  <c r="J983" i="11"/>
  <c r="J980" i="11"/>
  <c r="J981" i="11"/>
  <c r="J982" i="11"/>
  <c r="J984" i="11"/>
  <c r="J985" i="11"/>
  <c r="J986" i="11"/>
  <c r="J987" i="11"/>
  <c r="J988" i="11"/>
  <c r="J989" i="11"/>
  <c r="J991" i="11"/>
  <c r="J992" i="11"/>
  <c r="J993" i="11"/>
  <c r="J994" i="11"/>
  <c r="J995" i="11"/>
  <c r="J996" i="11"/>
  <c r="J998" i="11"/>
  <c r="J999" i="11"/>
  <c r="J1000" i="11"/>
  <c r="J1001" i="11"/>
  <c r="J1002" i="11"/>
  <c r="J1003" i="11"/>
  <c r="J1004" i="11"/>
  <c r="J1005" i="11"/>
  <c r="J1006" i="11"/>
  <c r="J1007" i="11"/>
  <c r="J1008" i="11"/>
  <c r="J1009" i="11"/>
  <c r="J1010" i="11"/>
  <c r="C1016" i="11"/>
  <c r="D1016" i="11"/>
  <c r="E1016" i="11"/>
  <c r="F1016" i="11"/>
  <c r="C1015" i="11"/>
  <c r="D1015" i="11"/>
  <c r="F1015" i="11"/>
  <c r="E1015" i="11"/>
  <c r="C1014" i="11"/>
  <c r="D1014" i="11"/>
  <c r="F1014" i="11"/>
  <c r="E1014" i="11"/>
  <c r="C1013" i="11"/>
  <c r="D1013" i="11"/>
  <c r="F1013" i="11"/>
  <c r="E1013" i="11"/>
  <c r="C1010" i="11"/>
  <c r="D1010" i="11"/>
  <c r="F1010" i="11"/>
  <c r="E1010" i="11"/>
  <c r="C1011" i="11"/>
  <c r="D1011" i="11"/>
  <c r="F1011" i="11"/>
  <c r="E1011" i="11"/>
  <c r="C1012" i="11"/>
  <c r="D1012" i="11"/>
  <c r="F1012" i="11"/>
  <c r="E1012" i="11"/>
  <c r="C1009" i="11"/>
  <c r="D1009" i="11"/>
  <c r="F1009" i="11"/>
  <c r="E1009" i="11"/>
  <c r="C1001" i="11"/>
  <c r="D1001" i="11"/>
  <c r="E1001" i="11"/>
  <c r="F1001" i="11"/>
  <c r="C1002" i="11"/>
  <c r="D1002" i="11"/>
  <c r="F1002" i="11"/>
  <c r="E1002" i="11"/>
  <c r="C1003" i="11"/>
  <c r="D1003" i="11"/>
  <c r="F1003" i="11"/>
  <c r="E1003" i="11"/>
  <c r="C1004" i="11"/>
  <c r="D1004" i="11"/>
  <c r="F1004" i="11"/>
  <c r="E1004" i="11"/>
  <c r="C1005" i="11"/>
  <c r="D1005" i="11"/>
  <c r="F1005" i="11"/>
  <c r="E1005" i="11"/>
  <c r="C1006" i="11"/>
  <c r="D1006" i="11"/>
  <c r="E1006" i="11"/>
  <c r="F1006" i="11"/>
  <c r="C1007" i="11"/>
  <c r="D1007" i="11"/>
  <c r="F1007" i="11"/>
  <c r="E1007" i="11"/>
  <c r="C1008" i="11"/>
  <c r="D1008" i="11"/>
  <c r="F1008" i="11"/>
  <c r="E1008" i="11"/>
  <c r="C1000" i="11"/>
  <c r="D1000" i="11"/>
  <c r="F1000" i="11"/>
  <c r="E1000" i="11"/>
  <c r="C998" i="11"/>
  <c r="D998" i="11"/>
  <c r="F998" i="11"/>
  <c r="E998" i="11"/>
  <c r="C999" i="11"/>
  <c r="D999" i="11"/>
  <c r="F999" i="11"/>
  <c r="E999" i="11"/>
  <c r="C996" i="11"/>
  <c r="D996" i="11"/>
  <c r="F996" i="11"/>
  <c r="E996" i="11"/>
  <c r="C997" i="11"/>
  <c r="D997" i="11"/>
  <c r="F997" i="11"/>
  <c r="E997" i="11"/>
  <c r="G997" i="11"/>
  <c r="K997" i="11"/>
  <c r="C995" i="11"/>
  <c r="D995" i="11"/>
  <c r="F995" i="11"/>
  <c r="E995" i="11"/>
  <c r="C994" i="11"/>
  <c r="D994" i="11"/>
  <c r="F994" i="11"/>
  <c r="E994" i="11"/>
  <c r="C993" i="11"/>
  <c r="D993" i="11"/>
  <c r="E993" i="11"/>
  <c r="F993" i="11"/>
  <c r="C992" i="11"/>
  <c r="D992" i="11"/>
  <c r="F992" i="11"/>
  <c r="E992" i="11"/>
  <c r="P13" i="30"/>
  <c r="O13" i="30"/>
  <c r="C989" i="11"/>
  <c r="D989" i="11"/>
  <c r="E989" i="11"/>
  <c r="F989" i="11"/>
  <c r="C990" i="11"/>
  <c r="D990" i="11"/>
  <c r="E990" i="11"/>
  <c r="F990" i="11"/>
  <c r="C991" i="11"/>
  <c r="D991" i="11"/>
  <c r="E991" i="11"/>
  <c r="F991" i="11"/>
  <c r="C988" i="11"/>
  <c r="D988" i="11"/>
  <c r="E988" i="11"/>
  <c r="F988" i="11"/>
  <c r="C987" i="11"/>
  <c r="D987" i="11"/>
  <c r="F987" i="11"/>
  <c r="E987" i="11"/>
  <c r="C986" i="11"/>
  <c r="D986" i="11"/>
  <c r="F986" i="11"/>
  <c r="E986" i="11"/>
  <c r="C985" i="11"/>
  <c r="D985" i="11"/>
  <c r="F985" i="11"/>
  <c r="E985" i="11"/>
  <c r="C982" i="11"/>
  <c r="D982" i="11"/>
  <c r="F982" i="11"/>
  <c r="E982" i="11"/>
  <c r="C983" i="11"/>
  <c r="D983" i="11"/>
  <c r="F983" i="11"/>
  <c r="E983" i="11"/>
  <c r="C984" i="11"/>
  <c r="D984" i="11"/>
  <c r="F984" i="11"/>
  <c r="E984" i="11"/>
  <c r="J949" i="11"/>
  <c r="J950" i="11"/>
  <c r="J951" i="11"/>
  <c r="J952" i="11"/>
  <c r="J953" i="11"/>
  <c r="J954" i="11"/>
  <c r="J956" i="11"/>
  <c r="J957" i="11"/>
  <c r="J958" i="11"/>
  <c r="J959" i="11"/>
  <c r="J960" i="11"/>
  <c r="J961" i="11"/>
  <c r="J963" i="11"/>
  <c r="J964" i="11"/>
  <c r="J965" i="11"/>
  <c r="J966" i="11"/>
  <c r="J967" i="11"/>
  <c r="J968" i="11"/>
  <c r="J970" i="11"/>
  <c r="J971" i="11"/>
  <c r="J972" i="11"/>
  <c r="J973" i="11"/>
  <c r="J974" i="11"/>
  <c r="J975" i="11"/>
  <c r="J977" i="11"/>
  <c r="J978" i="11"/>
  <c r="J979" i="11"/>
  <c r="I976" i="11"/>
  <c r="J976" i="11"/>
  <c r="I969" i="11"/>
  <c r="J969" i="11"/>
  <c r="I962" i="11"/>
  <c r="J962" i="11"/>
  <c r="I955" i="11"/>
  <c r="J955" i="11"/>
  <c r="C981" i="11"/>
  <c r="D981" i="11"/>
  <c r="E981" i="11"/>
  <c r="F981" i="11"/>
  <c r="C979" i="11"/>
  <c r="D979" i="11"/>
  <c r="E979" i="11"/>
  <c r="F979" i="11"/>
  <c r="C980" i="11"/>
  <c r="D980" i="11"/>
  <c r="E980" i="11"/>
  <c r="F980" i="11"/>
  <c r="B982" i="11"/>
  <c r="B989" i="11"/>
  <c r="B996" i="11"/>
  <c r="B1003" i="11"/>
  <c r="B1010" i="11"/>
  <c r="B1017" i="11"/>
  <c r="B1024" i="11"/>
  <c r="B1031" i="11"/>
  <c r="B1038" i="11"/>
  <c r="B1045" i="11"/>
  <c r="B1052" i="11"/>
  <c r="B1059" i="11"/>
  <c r="B1066" i="11"/>
  <c r="B1073" i="11"/>
  <c r="B1080" i="11"/>
  <c r="B1087" i="11"/>
  <c r="B1094" i="11"/>
  <c r="B1101" i="11"/>
  <c r="B1108" i="11"/>
  <c r="B1115" i="11"/>
  <c r="B1122" i="11"/>
  <c r="B1129" i="11"/>
  <c r="B1136" i="11"/>
  <c r="B1143" i="11"/>
  <c r="B1150" i="11"/>
  <c r="B1157" i="11"/>
  <c r="B1164" i="11"/>
  <c r="B1171" i="11"/>
  <c r="B1178" i="11"/>
  <c r="B1185" i="11"/>
  <c r="B1192" i="11"/>
  <c r="B1199" i="11"/>
  <c r="B1206" i="11"/>
  <c r="B1213" i="11"/>
  <c r="B1220" i="11"/>
  <c r="B1227" i="11"/>
  <c r="B1234" i="11"/>
  <c r="B1241" i="11"/>
  <c r="B1248" i="11"/>
  <c r="B1255" i="11"/>
  <c r="B1262" i="11"/>
  <c r="B1269" i="11"/>
  <c r="B1276" i="11"/>
  <c r="B1283" i="11"/>
  <c r="B1290" i="11"/>
  <c r="B1297" i="11"/>
  <c r="B1304" i="11"/>
  <c r="B1311" i="11"/>
  <c r="B1318" i="11"/>
  <c r="B1325" i="11"/>
  <c r="B1332" i="11"/>
  <c r="B1339" i="11"/>
  <c r="B983" i="11"/>
  <c r="B990" i="11"/>
  <c r="B997" i="11"/>
  <c r="B1004" i="11"/>
  <c r="B1011" i="11"/>
  <c r="B1018" i="11"/>
  <c r="B1025" i="11"/>
  <c r="B1032" i="11"/>
  <c r="B1039" i="11"/>
  <c r="B1046" i="11"/>
  <c r="B1053" i="11"/>
  <c r="B1060" i="11"/>
  <c r="B1067" i="11"/>
  <c r="B1074" i="11"/>
  <c r="B1081" i="11"/>
  <c r="B1088" i="11"/>
  <c r="B1095" i="11"/>
  <c r="B1102" i="11"/>
  <c r="B1109" i="11"/>
  <c r="B1116" i="11"/>
  <c r="B1123" i="11"/>
  <c r="B1130" i="11"/>
  <c r="B1137" i="11"/>
  <c r="B1144" i="11"/>
  <c r="B1151" i="11"/>
  <c r="B1158" i="11"/>
  <c r="B1165" i="11"/>
  <c r="B1172" i="11"/>
  <c r="B1179" i="11"/>
  <c r="B1186" i="11"/>
  <c r="B1193" i="11"/>
  <c r="B1200" i="11"/>
  <c r="B1207" i="11"/>
  <c r="B1214" i="11"/>
  <c r="B1221" i="11"/>
  <c r="B1228" i="11"/>
  <c r="B1235" i="11"/>
  <c r="B1242" i="11"/>
  <c r="B1249" i="11"/>
  <c r="B1256" i="11"/>
  <c r="B1263" i="11"/>
  <c r="B1270" i="11"/>
  <c r="B1277" i="11"/>
  <c r="B1284" i="11"/>
  <c r="B1291" i="11"/>
  <c r="B1298" i="11"/>
  <c r="B1305" i="11"/>
  <c r="B1312" i="11"/>
  <c r="B1319" i="11"/>
  <c r="B1326" i="11"/>
  <c r="B1333" i="11"/>
  <c r="B1340" i="11"/>
  <c r="B984" i="11"/>
  <c r="B991" i="11"/>
  <c r="B998" i="11"/>
  <c r="B1005" i="11"/>
  <c r="B1012" i="11"/>
  <c r="B1019" i="11"/>
  <c r="B1026" i="11"/>
  <c r="B1033" i="11"/>
  <c r="B1040" i="11"/>
  <c r="B1047" i="11"/>
  <c r="B1054" i="11"/>
  <c r="B1061" i="11"/>
  <c r="B1068" i="11"/>
  <c r="B1075" i="11"/>
  <c r="B1082" i="11"/>
  <c r="B1089" i="11"/>
  <c r="B1096" i="11"/>
  <c r="B1103" i="11"/>
  <c r="B1110" i="11"/>
  <c r="B1117" i="11"/>
  <c r="B1124" i="11"/>
  <c r="B1131" i="11"/>
  <c r="B1138" i="11"/>
  <c r="B1145" i="11"/>
  <c r="B1152" i="11"/>
  <c r="B1159" i="11"/>
  <c r="B1166" i="11"/>
  <c r="B1173" i="11"/>
  <c r="B1180" i="11"/>
  <c r="B1187" i="11"/>
  <c r="B1194" i="11"/>
  <c r="B1201" i="11"/>
  <c r="B1208" i="11"/>
  <c r="B1215" i="11"/>
  <c r="B1222" i="11"/>
  <c r="B1229" i="11"/>
  <c r="B1236" i="11"/>
  <c r="B1243" i="11"/>
  <c r="B1250" i="11"/>
  <c r="B1257" i="11"/>
  <c r="B1264" i="11"/>
  <c r="B1271" i="11"/>
  <c r="B1278" i="11"/>
  <c r="B1285" i="11"/>
  <c r="B1292" i="11"/>
  <c r="B1299" i="11"/>
  <c r="B1306" i="11"/>
  <c r="B1313" i="11"/>
  <c r="B1320" i="11"/>
  <c r="B1327" i="11"/>
  <c r="B1334" i="11"/>
  <c r="B1341" i="11"/>
  <c r="B985" i="11"/>
  <c r="B992" i="11"/>
  <c r="B999" i="11"/>
  <c r="B1006" i="11"/>
  <c r="B1013" i="11"/>
  <c r="B1020" i="11"/>
  <c r="B1027" i="11"/>
  <c r="B1034" i="11"/>
  <c r="B1041" i="11"/>
  <c r="B1048" i="11"/>
  <c r="B1055" i="11"/>
  <c r="B1062" i="11"/>
  <c r="B1069" i="11"/>
  <c r="B1076" i="11"/>
  <c r="B1083" i="11"/>
  <c r="B1090" i="11"/>
  <c r="B1097" i="11"/>
  <c r="B1104" i="11"/>
  <c r="B1111" i="11"/>
  <c r="B1118" i="11"/>
  <c r="B1125" i="11"/>
  <c r="B1132" i="11"/>
  <c r="B1139" i="11"/>
  <c r="B1146" i="11"/>
  <c r="B1153" i="11"/>
  <c r="B1160" i="11"/>
  <c r="B1167" i="11"/>
  <c r="B1174" i="11"/>
  <c r="B1181" i="11"/>
  <c r="B1188" i="11"/>
  <c r="B1195" i="11"/>
  <c r="B1202" i="11"/>
  <c r="B1209" i="11"/>
  <c r="B1216" i="11"/>
  <c r="B1223" i="11"/>
  <c r="B1230" i="11"/>
  <c r="B1237" i="11"/>
  <c r="B1244" i="11"/>
  <c r="B1251" i="11"/>
  <c r="B1258" i="11"/>
  <c r="B1265" i="11"/>
  <c r="B1272" i="11"/>
  <c r="B1279" i="11"/>
  <c r="B1286" i="11"/>
  <c r="B1293" i="11"/>
  <c r="B1300" i="11"/>
  <c r="B1307" i="11"/>
  <c r="B1314" i="11"/>
  <c r="B1321" i="11"/>
  <c r="B1328" i="11"/>
  <c r="B1335" i="11"/>
  <c r="B1342" i="11"/>
  <c r="B986" i="11"/>
  <c r="B993" i="11"/>
  <c r="B1000" i="11"/>
  <c r="B1007" i="11"/>
  <c r="B1014" i="11"/>
  <c r="B1021" i="11"/>
  <c r="B1028" i="11"/>
  <c r="B1035" i="11"/>
  <c r="B1042" i="11"/>
  <c r="B1049" i="11"/>
  <c r="B1056" i="11"/>
  <c r="B1063" i="11"/>
  <c r="B1070" i="11"/>
  <c r="B1077" i="11"/>
  <c r="B1084" i="11"/>
  <c r="B1091" i="11"/>
  <c r="B1098" i="11"/>
  <c r="B1105" i="11"/>
  <c r="B1112" i="11"/>
  <c r="B1119" i="11"/>
  <c r="B1126" i="11"/>
  <c r="B1133" i="11"/>
  <c r="B1140" i="11"/>
  <c r="B1147" i="11"/>
  <c r="B1154" i="11"/>
  <c r="B1161" i="11"/>
  <c r="B1168" i="11"/>
  <c r="B1175" i="11"/>
  <c r="B1182" i="11"/>
  <c r="B1189" i="11"/>
  <c r="B1196" i="11"/>
  <c r="B1203" i="11"/>
  <c r="B1210" i="11"/>
  <c r="B1217" i="11"/>
  <c r="B1224" i="11"/>
  <c r="B1231" i="11"/>
  <c r="B1238" i="11"/>
  <c r="B1245" i="11"/>
  <c r="B1252" i="11"/>
  <c r="B1259" i="11"/>
  <c r="B1266" i="11"/>
  <c r="B1273" i="11"/>
  <c r="B1280" i="11"/>
  <c r="B1287" i="11"/>
  <c r="B1294" i="11"/>
  <c r="B1301" i="11"/>
  <c r="B1308" i="11"/>
  <c r="B1315" i="11"/>
  <c r="B1322" i="11"/>
  <c r="B1329" i="11"/>
  <c r="B1336" i="11"/>
  <c r="B1343" i="11"/>
  <c r="B981" i="11"/>
  <c r="B988" i="11"/>
  <c r="B995" i="11"/>
  <c r="B1002" i="11"/>
  <c r="B1009" i="11"/>
  <c r="B1016" i="11"/>
  <c r="B1023" i="11"/>
  <c r="B1030" i="11"/>
  <c r="B1037" i="11"/>
  <c r="B1044" i="11"/>
  <c r="B1051" i="11"/>
  <c r="B1058" i="11"/>
  <c r="B1065" i="11"/>
  <c r="B1072" i="11"/>
  <c r="B1079" i="11"/>
  <c r="B1086" i="11"/>
  <c r="B1093" i="11"/>
  <c r="B1100" i="11"/>
  <c r="B1107" i="11"/>
  <c r="B1114" i="11"/>
  <c r="B1121" i="11"/>
  <c r="B1128" i="11"/>
  <c r="B1135" i="11"/>
  <c r="B1142" i="11"/>
  <c r="B1149" i="11"/>
  <c r="B1156" i="11"/>
  <c r="B1163" i="11"/>
  <c r="B1170" i="11"/>
  <c r="B1177" i="11"/>
  <c r="B1184" i="11"/>
  <c r="B1191" i="11"/>
  <c r="B1198" i="11"/>
  <c r="B1205" i="11"/>
  <c r="B1212" i="11"/>
  <c r="B1219" i="11"/>
  <c r="B1226" i="11"/>
  <c r="B1233" i="11"/>
  <c r="B1240" i="11"/>
  <c r="B1247" i="11"/>
  <c r="B1254" i="11"/>
  <c r="B1261" i="11"/>
  <c r="B1268" i="11"/>
  <c r="B1275" i="11"/>
  <c r="B1282" i="11"/>
  <c r="B1289" i="11"/>
  <c r="B1296" i="11"/>
  <c r="B1303" i="11"/>
  <c r="B1310" i="11"/>
  <c r="B1317" i="11"/>
  <c r="B1324" i="11"/>
  <c r="B1331" i="11"/>
  <c r="B1338" i="11"/>
  <c r="B1345" i="11"/>
  <c r="B980" i="11"/>
  <c r="B987" i="11"/>
  <c r="B994" i="11"/>
  <c r="B1001" i="11"/>
  <c r="B1008" i="11"/>
  <c r="B1015" i="11"/>
  <c r="B1022" i="11"/>
  <c r="B1029" i="11"/>
  <c r="B1036" i="11"/>
  <c r="B1043" i="11"/>
  <c r="B1050" i="11"/>
  <c r="B1057" i="11"/>
  <c r="B1064" i="11"/>
  <c r="B1071" i="11"/>
  <c r="B1078" i="11"/>
  <c r="B1085" i="11"/>
  <c r="B1092" i="11"/>
  <c r="B1099" i="11"/>
  <c r="B1106" i="11"/>
  <c r="B1113" i="11"/>
  <c r="B1120" i="11"/>
  <c r="B1127" i="11"/>
  <c r="B1134" i="11"/>
  <c r="B1141" i="11"/>
  <c r="B1148" i="11"/>
  <c r="B1155" i="11"/>
  <c r="B1162" i="11"/>
  <c r="B1169" i="11"/>
  <c r="B1176" i="11"/>
  <c r="B1183" i="11"/>
  <c r="B1190" i="11"/>
  <c r="B1197" i="11"/>
  <c r="B1204" i="11"/>
  <c r="B1211" i="11"/>
  <c r="B1218" i="11"/>
  <c r="B1225" i="11"/>
  <c r="B1232" i="11"/>
  <c r="B1239" i="11"/>
  <c r="B1246" i="11"/>
  <c r="B1253" i="11"/>
  <c r="B1260" i="11"/>
  <c r="B1267" i="11"/>
  <c r="B1274" i="11"/>
  <c r="B1281" i="11"/>
  <c r="B1288" i="11"/>
  <c r="B1295" i="11"/>
  <c r="B1302" i="11"/>
  <c r="B1309" i="11"/>
  <c r="B1316" i="11"/>
  <c r="B1323" i="11"/>
  <c r="B1330" i="11"/>
  <c r="B1337" i="11"/>
  <c r="B1344" i="11"/>
  <c r="C978" i="11"/>
  <c r="D978" i="11"/>
  <c r="E978" i="11"/>
  <c r="F978" i="11"/>
  <c r="C975" i="11"/>
  <c r="D975" i="11"/>
  <c r="E975" i="11"/>
  <c r="F975" i="11"/>
  <c r="C976" i="11"/>
  <c r="D976" i="11"/>
  <c r="E976" i="11"/>
  <c r="F976" i="11"/>
  <c r="C977" i="11"/>
  <c r="D977" i="11"/>
  <c r="E977" i="11"/>
  <c r="F977" i="11"/>
  <c r="C974" i="11"/>
  <c r="D974" i="11"/>
  <c r="E974" i="11"/>
  <c r="F974" i="11"/>
  <c r="C973" i="11"/>
  <c r="D973" i="11"/>
  <c r="E973" i="11"/>
  <c r="F973" i="11"/>
  <c r="C972" i="11"/>
  <c r="D972" i="11"/>
  <c r="E972" i="11"/>
  <c r="F972" i="11"/>
  <c r="C971" i="11"/>
  <c r="D971" i="11"/>
  <c r="E971" i="11"/>
  <c r="F971" i="11"/>
  <c r="C968" i="11"/>
  <c r="D968" i="11"/>
  <c r="E968" i="11"/>
  <c r="F968" i="11"/>
  <c r="C969" i="11"/>
  <c r="D969" i="11"/>
  <c r="E969" i="11"/>
  <c r="F969" i="11"/>
  <c r="C970" i="11"/>
  <c r="D970" i="11"/>
  <c r="E970" i="11"/>
  <c r="F970" i="11"/>
  <c r="C967" i="11"/>
  <c r="D967" i="11"/>
  <c r="E967" i="11"/>
  <c r="F967" i="11"/>
  <c r="C966" i="11"/>
  <c r="D966" i="11"/>
  <c r="E966" i="11"/>
  <c r="F966" i="11"/>
  <c r="C965" i="11"/>
  <c r="D965" i="11"/>
  <c r="E965" i="11"/>
  <c r="F965" i="11"/>
  <c r="C964" i="11"/>
  <c r="D964" i="11"/>
  <c r="E964" i="11"/>
  <c r="F964" i="11"/>
  <c r="C961" i="11"/>
  <c r="D961" i="11"/>
  <c r="E961" i="11"/>
  <c r="F961" i="11"/>
  <c r="C962" i="11"/>
  <c r="D962" i="11"/>
  <c r="E962" i="11"/>
  <c r="F962" i="11"/>
  <c r="C963" i="11"/>
  <c r="D963" i="11"/>
  <c r="E963" i="11"/>
  <c r="F963" i="11"/>
  <c r="L958" i="11"/>
  <c r="L959" i="11"/>
  <c r="L960" i="11"/>
  <c r="L961" i="11"/>
  <c r="L957" i="11"/>
  <c r="C960" i="11"/>
  <c r="D960" i="11"/>
  <c r="E960" i="11"/>
  <c r="F960" i="11"/>
  <c r="C959" i="11"/>
  <c r="D959" i="11"/>
  <c r="E959" i="11"/>
  <c r="F959" i="11"/>
  <c r="C958" i="11"/>
  <c r="D958" i="11"/>
  <c r="E958" i="11"/>
  <c r="F958" i="11"/>
  <c r="C957" i="11"/>
  <c r="D957" i="11"/>
  <c r="E957" i="11"/>
  <c r="F957" i="11"/>
  <c r="C954" i="11"/>
  <c r="D954" i="11"/>
  <c r="E954" i="11"/>
  <c r="F954" i="11"/>
  <c r="C955" i="11"/>
  <c r="D955" i="11"/>
  <c r="E955" i="11"/>
  <c r="F955" i="11"/>
  <c r="C956" i="11"/>
  <c r="D956" i="11"/>
  <c r="E956" i="11"/>
  <c r="F956" i="11"/>
  <c r="P12" i="30"/>
  <c r="O12" i="30"/>
  <c r="C953" i="11"/>
  <c r="D953" i="11"/>
  <c r="E953" i="11"/>
  <c r="F953" i="11"/>
  <c r="C952" i="11"/>
  <c r="D952" i="11"/>
  <c r="E952" i="11"/>
  <c r="F952" i="11"/>
  <c r="I941" i="11"/>
  <c r="J941" i="11"/>
  <c r="I948" i="11"/>
  <c r="J948" i="11"/>
  <c r="I934" i="11"/>
  <c r="J934" i="11"/>
  <c r="I927" i="11"/>
  <c r="J927" i="11"/>
  <c r="I920" i="11"/>
  <c r="J920" i="11"/>
  <c r="J921" i="11"/>
  <c r="J919" i="11"/>
  <c r="J922" i="11"/>
  <c r="J923" i="11"/>
  <c r="J924" i="11"/>
  <c r="J925" i="11"/>
  <c r="J926" i="11"/>
  <c r="J928" i="11"/>
  <c r="J929" i="11"/>
  <c r="J930" i="11"/>
  <c r="J931" i="11"/>
  <c r="J932" i="11"/>
  <c r="J933" i="11"/>
  <c r="J935" i="11"/>
  <c r="J936" i="11"/>
  <c r="J937" i="11"/>
  <c r="J938" i="11"/>
  <c r="J939" i="11"/>
  <c r="J940" i="11"/>
  <c r="J942" i="11"/>
  <c r="J943" i="11"/>
  <c r="J944" i="11"/>
  <c r="J945" i="11"/>
  <c r="J946" i="11"/>
  <c r="J947" i="11"/>
  <c r="C951" i="11"/>
  <c r="D951" i="11"/>
  <c r="E951" i="11"/>
  <c r="F951" i="11"/>
  <c r="G951" i="11"/>
  <c r="K951" i="11"/>
  <c r="C950" i="11"/>
  <c r="D950" i="11"/>
  <c r="E950" i="11"/>
  <c r="F950" i="11"/>
  <c r="C947" i="11"/>
  <c r="D947" i="11"/>
  <c r="E947" i="11"/>
  <c r="F947" i="11"/>
  <c r="C948" i="11"/>
  <c r="D948" i="11"/>
  <c r="E948" i="11"/>
  <c r="F948" i="11"/>
  <c r="C949" i="11"/>
  <c r="D949" i="11"/>
  <c r="E949" i="11"/>
  <c r="F949" i="11"/>
  <c r="C946" i="11"/>
  <c r="D946" i="11"/>
  <c r="E946" i="11"/>
  <c r="F946" i="11"/>
  <c r="C945" i="11"/>
  <c r="D945" i="11"/>
  <c r="E945" i="11"/>
  <c r="F945" i="11"/>
  <c r="C944" i="11"/>
  <c r="D944" i="11"/>
  <c r="E944" i="11"/>
  <c r="F944" i="11"/>
  <c r="C943" i="11"/>
  <c r="D943" i="11"/>
  <c r="E943" i="11"/>
  <c r="F943" i="11"/>
  <c r="C940" i="11"/>
  <c r="D940" i="11"/>
  <c r="E940" i="11"/>
  <c r="F940" i="11"/>
  <c r="G940" i="11"/>
  <c r="K940" i="11"/>
  <c r="C941" i="11"/>
  <c r="D941" i="11"/>
  <c r="E941" i="11"/>
  <c r="F941" i="11"/>
  <c r="C942" i="11"/>
  <c r="D942" i="11"/>
  <c r="E942" i="11"/>
  <c r="F942" i="11"/>
  <c r="C939" i="11"/>
  <c r="D939" i="11"/>
  <c r="E939" i="11"/>
  <c r="F939" i="11"/>
  <c r="C938" i="11"/>
  <c r="D938" i="11"/>
  <c r="E938" i="11"/>
  <c r="F938" i="11"/>
  <c r="C937" i="11"/>
  <c r="D937" i="11"/>
  <c r="E937" i="11"/>
  <c r="F937" i="11"/>
  <c r="C936" i="11"/>
  <c r="D936" i="11"/>
  <c r="E936" i="11"/>
  <c r="F936" i="11"/>
  <c r="C933" i="11"/>
  <c r="D933" i="11"/>
  <c r="E933" i="11"/>
  <c r="F933" i="11"/>
  <c r="C934" i="11"/>
  <c r="D934" i="11"/>
  <c r="E934" i="11"/>
  <c r="F934" i="11"/>
  <c r="C935" i="11"/>
  <c r="D935" i="11"/>
  <c r="E935" i="11"/>
  <c r="F935" i="11"/>
  <c r="C932" i="11"/>
  <c r="D932" i="11"/>
  <c r="E932" i="11"/>
  <c r="F932" i="11"/>
  <c r="G932" i="11"/>
  <c r="K932" i="11"/>
  <c r="C931" i="11"/>
  <c r="D931" i="11"/>
  <c r="E931" i="11"/>
  <c r="F931" i="11"/>
  <c r="C930" i="11"/>
  <c r="D930" i="11"/>
  <c r="E930" i="11"/>
  <c r="F930" i="11"/>
  <c r="C929" i="11"/>
  <c r="D929" i="11"/>
  <c r="E929" i="11"/>
  <c r="F929" i="11"/>
  <c r="C926" i="11"/>
  <c r="D926" i="11"/>
  <c r="E926" i="11"/>
  <c r="F926" i="11"/>
  <c r="C927" i="11"/>
  <c r="D927" i="11"/>
  <c r="E927" i="11"/>
  <c r="F927" i="11"/>
  <c r="C928" i="11"/>
  <c r="D928" i="11"/>
  <c r="E928" i="11"/>
  <c r="F928" i="11"/>
  <c r="C925" i="11"/>
  <c r="D925" i="11"/>
  <c r="E925" i="11"/>
  <c r="F925" i="11"/>
  <c r="P11" i="30"/>
  <c r="O11" i="30"/>
  <c r="Q11" i="30"/>
  <c r="R11" i="30"/>
  <c r="J888" i="11"/>
  <c r="J889" i="11"/>
  <c r="J890" i="11"/>
  <c r="J891" i="11"/>
  <c r="J893" i="11"/>
  <c r="J894" i="11"/>
  <c r="J895" i="11"/>
  <c r="J896" i="11"/>
  <c r="J897" i="11"/>
  <c r="J898" i="11"/>
  <c r="J900" i="11"/>
  <c r="J901" i="11"/>
  <c r="J902" i="11"/>
  <c r="J903" i="11"/>
  <c r="J904" i="11"/>
  <c r="J905" i="11"/>
  <c r="J907" i="11"/>
  <c r="J908" i="11"/>
  <c r="J909" i="11"/>
  <c r="J910" i="11"/>
  <c r="J911" i="11"/>
  <c r="J912" i="11"/>
  <c r="J913" i="11"/>
  <c r="J914" i="11"/>
  <c r="J915" i="11"/>
  <c r="J916" i="11"/>
  <c r="J917" i="11"/>
  <c r="J918" i="11"/>
  <c r="I906" i="11"/>
  <c r="J906" i="11"/>
  <c r="I899" i="11"/>
  <c r="J899" i="11"/>
  <c r="I892" i="11"/>
  <c r="J892" i="11"/>
  <c r="C924" i="11"/>
  <c r="D924" i="11"/>
  <c r="E924" i="11"/>
  <c r="F924" i="11"/>
  <c r="C923" i="11"/>
  <c r="D923" i="11"/>
  <c r="E923" i="11"/>
  <c r="F923" i="11"/>
  <c r="C922" i="11"/>
  <c r="D922" i="11"/>
  <c r="E922" i="11"/>
  <c r="F922" i="11"/>
  <c r="C919" i="11"/>
  <c r="D919" i="11"/>
  <c r="E919" i="11"/>
  <c r="F919" i="11"/>
  <c r="G919" i="11"/>
  <c r="C920" i="11"/>
  <c r="D920" i="11"/>
  <c r="E920" i="11"/>
  <c r="F920" i="11"/>
  <c r="C921" i="11"/>
  <c r="D921" i="11"/>
  <c r="E921" i="11"/>
  <c r="F921" i="11"/>
  <c r="C918" i="11"/>
  <c r="D918" i="11"/>
  <c r="E918" i="11"/>
  <c r="F918" i="11"/>
  <c r="C917" i="11"/>
  <c r="D917" i="11"/>
  <c r="E917" i="11"/>
  <c r="F917" i="11"/>
  <c r="C916" i="11"/>
  <c r="D916" i="11"/>
  <c r="E916" i="11"/>
  <c r="F916" i="11"/>
  <c r="C915" i="11"/>
  <c r="D915" i="11"/>
  <c r="E915" i="11"/>
  <c r="F915" i="11"/>
  <c r="C911" i="11"/>
  <c r="D911" i="11"/>
  <c r="E911" i="11"/>
  <c r="F911" i="11"/>
  <c r="C912" i="11"/>
  <c r="D912" i="11"/>
  <c r="E912" i="11"/>
  <c r="F912" i="11"/>
  <c r="C913" i="11"/>
  <c r="D913" i="11"/>
  <c r="E913" i="11"/>
  <c r="F913" i="11"/>
  <c r="C914" i="11"/>
  <c r="D914" i="11"/>
  <c r="E914" i="11"/>
  <c r="F914" i="11"/>
  <c r="C910" i="11"/>
  <c r="D910" i="11"/>
  <c r="E910" i="11"/>
  <c r="F910" i="11"/>
  <c r="C909" i="11"/>
  <c r="D909" i="11"/>
  <c r="E909" i="11"/>
  <c r="F909" i="11"/>
  <c r="C908" i="11"/>
  <c r="D908" i="11"/>
  <c r="E908" i="11"/>
  <c r="F908" i="11"/>
  <c r="C905" i="11"/>
  <c r="D905" i="11"/>
  <c r="E905" i="11"/>
  <c r="F905" i="11"/>
  <c r="C906" i="11"/>
  <c r="D906" i="11"/>
  <c r="E906" i="11"/>
  <c r="F906" i="11"/>
  <c r="C907" i="11"/>
  <c r="D907" i="11"/>
  <c r="E907" i="11"/>
  <c r="F907" i="11"/>
  <c r="C904" i="11"/>
  <c r="D904" i="11"/>
  <c r="E904" i="11"/>
  <c r="F904" i="11"/>
  <c r="G904" i="11"/>
  <c r="K904" i="11"/>
  <c r="C903" i="11"/>
  <c r="D903" i="11"/>
  <c r="E903" i="11"/>
  <c r="F903" i="11"/>
  <c r="C902" i="11"/>
  <c r="D902" i="11"/>
  <c r="E902" i="11"/>
  <c r="F902" i="11"/>
  <c r="O10" i="30"/>
  <c r="P10" i="30"/>
  <c r="Q10" i="30"/>
  <c r="R10" i="30"/>
  <c r="J858" i="11"/>
  <c r="J859" i="11"/>
  <c r="J860" i="11"/>
  <c r="J861" i="11"/>
  <c r="J862" i="11"/>
  <c r="J863" i="11"/>
  <c r="J864" i="11"/>
  <c r="J865" i="11"/>
  <c r="J866" i="11"/>
  <c r="J867" i="11"/>
  <c r="J868" i="11"/>
  <c r="J869" i="11"/>
  <c r="J870" i="11"/>
  <c r="J871" i="11"/>
  <c r="J872" i="11"/>
  <c r="J873" i="11"/>
  <c r="J874" i="11"/>
  <c r="J875" i="11"/>
  <c r="J876" i="11"/>
  <c r="J877" i="11"/>
  <c r="J878" i="11"/>
  <c r="J879" i="11"/>
  <c r="J880" i="11"/>
  <c r="J881" i="11"/>
  <c r="J882" i="11"/>
  <c r="J883" i="11"/>
  <c r="J884" i="11"/>
  <c r="J885" i="11"/>
  <c r="J886" i="11"/>
  <c r="J887" i="11"/>
  <c r="C901" i="11"/>
  <c r="D901" i="11"/>
  <c r="E901" i="11"/>
  <c r="F901" i="11"/>
  <c r="C896" i="11"/>
  <c r="D896" i="11"/>
  <c r="E896" i="11"/>
  <c r="F896" i="11"/>
  <c r="C897" i="11"/>
  <c r="D897" i="11"/>
  <c r="E897" i="11"/>
  <c r="F897" i="11"/>
  <c r="C898" i="11"/>
  <c r="D898" i="11"/>
  <c r="E898" i="11"/>
  <c r="F898" i="11"/>
  <c r="C899" i="11"/>
  <c r="D899" i="11"/>
  <c r="E899" i="11"/>
  <c r="F899" i="11"/>
  <c r="C900" i="11"/>
  <c r="D900" i="11"/>
  <c r="E900" i="11"/>
  <c r="F900" i="11"/>
  <c r="C895" i="11"/>
  <c r="D895" i="11"/>
  <c r="E895" i="11"/>
  <c r="F895" i="11"/>
  <c r="C894" i="11"/>
  <c r="D894" i="11"/>
  <c r="E894" i="11"/>
  <c r="F894" i="11"/>
  <c r="C892" i="11"/>
  <c r="D892" i="11"/>
  <c r="E892" i="11"/>
  <c r="F892" i="11"/>
  <c r="C893" i="11"/>
  <c r="D893" i="11"/>
  <c r="F893" i="11"/>
  <c r="E893" i="11"/>
  <c r="G893" i="11"/>
  <c r="K893" i="11"/>
  <c r="C891" i="11"/>
  <c r="D891" i="11"/>
  <c r="E891" i="11"/>
  <c r="F891" i="11"/>
  <c r="C890" i="11"/>
  <c r="D890" i="11"/>
  <c r="E890" i="11"/>
  <c r="F890" i="11"/>
  <c r="C889" i="11"/>
  <c r="D889" i="11"/>
  <c r="E889" i="11"/>
  <c r="F889" i="11"/>
  <c r="C888" i="11"/>
  <c r="D888" i="11"/>
  <c r="E888" i="11"/>
  <c r="F888" i="11"/>
  <c r="C883" i="11"/>
  <c r="D883" i="11"/>
  <c r="E883" i="11"/>
  <c r="F883" i="11"/>
  <c r="C884" i="11"/>
  <c r="D884" i="11"/>
  <c r="E884" i="11"/>
  <c r="F884" i="11"/>
  <c r="C885" i="11"/>
  <c r="D885" i="11"/>
  <c r="E885" i="11"/>
  <c r="F885" i="11"/>
  <c r="C886" i="11"/>
  <c r="D886" i="11"/>
  <c r="F886" i="11"/>
  <c r="E886" i="11"/>
  <c r="G886" i="11"/>
  <c r="C887" i="11"/>
  <c r="D887" i="11"/>
  <c r="E887" i="11"/>
  <c r="F887" i="11"/>
  <c r="C882" i="11"/>
  <c r="D882" i="11"/>
  <c r="E882" i="11"/>
  <c r="F882" i="11"/>
  <c r="C881" i="11"/>
  <c r="D881" i="11"/>
  <c r="E881" i="11"/>
  <c r="F881" i="11"/>
  <c r="C880" i="11"/>
  <c r="D880" i="11"/>
  <c r="E880" i="11"/>
  <c r="F880" i="11"/>
  <c r="C877" i="11"/>
  <c r="D877" i="11"/>
  <c r="E877" i="11"/>
  <c r="F877" i="11"/>
  <c r="C878" i="11"/>
  <c r="D878" i="11"/>
  <c r="E878" i="11"/>
  <c r="F878" i="11"/>
  <c r="C879" i="11"/>
  <c r="D879" i="11"/>
  <c r="E879" i="11"/>
  <c r="F879" i="11"/>
  <c r="C876" i="11"/>
  <c r="D876" i="11"/>
  <c r="E876" i="11"/>
  <c r="F876" i="11"/>
  <c r="C875" i="11"/>
  <c r="D875" i="11"/>
  <c r="E875" i="11"/>
  <c r="F875" i="11"/>
  <c r="C874" i="11"/>
  <c r="D874" i="11"/>
  <c r="F874" i="11"/>
  <c r="E874" i="11"/>
  <c r="G874" i="11"/>
  <c r="K874" i="11"/>
  <c r="C873" i="11"/>
  <c r="D873" i="11"/>
  <c r="E873" i="11"/>
  <c r="F873" i="11"/>
  <c r="C869" i="11"/>
  <c r="D869" i="11"/>
  <c r="E869" i="11"/>
  <c r="F869" i="11"/>
  <c r="C870" i="11"/>
  <c r="D870" i="11"/>
  <c r="E870" i="11"/>
  <c r="F870" i="11"/>
  <c r="C871" i="11"/>
  <c r="D871" i="11"/>
  <c r="E871" i="11"/>
  <c r="F871" i="11"/>
  <c r="C872" i="11"/>
  <c r="D872" i="11"/>
  <c r="E872" i="11"/>
  <c r="F872" i="11"/>
  <c r="C868" i="11"/>
  <c r="D868" i="11"/>
  <c r="E868" i="11"/>
  <c r="F868" i="11"/>
  <c r="C867" i="11"/>
  <c r="D867" i="11"/>
  <c r="F867" i="11"/>
  <c r="E867" i="11"/>
  <c r="G867" i="11"/>
  <c r="K867" i="11"/>
  <c r="C866" i="11"/>
  <c r="D866" i="11"/>
  <c r="E866" i="11"/>
  <c r="F866" i="11"/>
  <c r="C863" i="11"/>
  <c r="D863" i="11"/>
  <c r="E863" i="11"/>
  <c r="F863" i="11"/>
  <c r="C864" i="11"/>
  <c r="D864" i="11"/>
  <c r="F864" i="11"/>
  <c r="E864" i="11"/>
  <c r="G864" i="11"/>
  <c r="K864" i="11"/>
  <c r="C865" i="11"/>
  <c r="D865" i="11"/>
  <c r="E865" i="11"/>
  <c r="F865" i="11"/>
  <c r="P9" i="30"/>
  <c r="O9" i="30"/>
  <c r="Q9" i="30"/>
  <c r="R9" i="30"/>
  <c r="J828" i="11"/>
  <c r="J829" i="11"/>
  <c r="J830" i="11"/>
  <c r="J831" i="11"/>
  <c r="J832" i="11"/>
  <c r="J833" i="11"/>
  <c r="J834" i="11"/>
  <c r="J835" i="11"/>
  <c r="J836" i="11"/>
  <c r="J837" i="11"/>
  <c r="J838" i="11"/>
  <c r="J839" i="11"/>
  <c r="J840" i="11"/>
  <c r="J841" i="11"/>
  <c r="J842" i="11"/>
  <c r="J843" i="11"/>
  <c r="J844" i="11"/>
  <c r="J845" i="11"/>
  <c r="J846" i="11"/>
  <c r="J847" i="11"/>
  <c r="J848" i="11"/>
  <c r="J849" i="11"/>
  <c r="J850" i="11"/>
  <c r="J851" i="11"/>
  <c r="J852" i="11"/>
  <c r="J853" i="11"/>
  <c r="J854" i="11"/>
  <c r="J855" i="11"/>
  <c r="J856" i="11"/>
  <c r="J857" i="11"/>
  <c r="J827" i="11"/>
  <c r="C862" i="11"/>
  <c r="D862" i="11"/>
  <c r="E862" i="11"/>
  <c r="F862" i="11"/>
  <c r="C861" i="11"/>
  <c r="D861" i="11"/>
  <c r="E861" i="11"/>
  <c r="F861" i="11"/>
  <c r="C860" i="11"/>
  <c r="D860" i="11"/>
  <c r="E860" i="11"/>
  <c r="F860" i="11"/>
  <c r="C859" i="11"/>
  <c r="D859" i="11"/>
  <c r="E859" i="11"/>
  <c r="F859" i="11"/>
  <c r="C856" i="11"/>
  <c r="D856" i="11"/>
  <c r="E856" i="11"/>
  <c r="F856" i="11"/>
  <c r="C857" i="11"/>
  <c r="D857" i="11"/>
  <c r="E857" i="11"/>
  <c r="F857" i="11"/>
  <c r="G857" i="11"/>
  <c r="C858" i="11"/>
  <c r="D858" i="11"/>
  <c r="E858" i="11"/>
  <c r="F858" i="11"/>
  <c r="C855" i="11"/>
  <c r="D855" i="11"/>
  <c r="E855" i="11"/>
  <c r="F855" i="11"/>
  <c r="C854" i="11"/>
  <c r="D854" i="11"/>
  <c r="F854" i="11"/>
  <c r="E854" i="11"/>
  <c r="C853" i="11"/>
  <c r="D853" i="11"/>
  <c r="E853" i="11"/>
  <c r="F853" i="11"/>
  <c r="C852" i="11"/>
  <c r="D852" i="11"/>
  <c r="E852" i="11"/>
  <c r="F852" i="11"/>
  <c r="C849" i="11"/>
  <c r="D849" i="11"/>
  <c r="E849" i="11"/>
  <c r="F849" i="11"/>
  <c r="G849" i="11"/>
  <c r="K849" i="11"/>
  <c r="C850" i="11"/>
  <c r="D850" i="11"/>
  <c r="E850" i="11"/>
  <c r="F850" i="11"/>
  <c r="C851" i="11"/>
  <c r="D851" i="11"/>
  <c r="E851" i="11"/>
  <c r="F851" i="11"/>
  <c r="G851" i="11"/>
  <c r="K851" i="11"/>
  <c r="C848" i="11"/>
  <c r="D848" i="11"/>
  <c r="E848" i="11"/>
  <c r="F848" i="11"/>
  <c r="C847" i="11"/>
  <c r="D847" i="11"/>
  <c r="E847" i="11"/>
  <c r="F847" i="11"/>
  <c r="C846" i="11"/>
  <c r="D846" i="11"/>
  <c r="E846" i="11"/>
  <c r="F846" i="11"/>
  <c r="C845" i="11"/>
  <c r="D845" i="11"/>
  <c r="E845" i="11"/>
  <c r="F845" i="11"/>
  <c r="C842" i="11"/>
  <c r="D842" i="11"/>
  <c r="E842" i="11"/>
  <c r="F842" i="11"/>
  <c r="C843" i="11"/>
  <c r="D843" i="11"/>
  <c r="E843" i="11"/>
  <c r="F843" i="11"/>
  <c r="G843" i="11"/>
  <c r="K843" i="11"/>
  <c r="C844" i="11"/>
  <c r="D844" i="11"/>
  <c r="E844" i="11"/>
  <c r="F844" i="11"/>
  <c r="C841" i="11"/>
  <c r="D841" i="11"/>
  <c r="E841" i="11"/>
  <c r="F841" i="11"/>
  <c r="C840" i="11"/>
  <c r="D840" i="11"/>
  <c r="E840" i="11"/>
  <c r="F840" i="11"/>
  <c r="P7" i="30"/>
  <c r="O7" i="30"/>
  <c r="Q7" i="30"/>
  <c r="R7" i="30"/>
  <c r="O8" i="30"/>
  <c r="P8" i="30"/>
  <c r="J826" i="11"/>
  <c r="J825" i="11"/>
  <c r="J824" i="11"/>
  <c r="J823" i="11"/>
  <c r="J822" i="11"/>
  <c r="J821" i="11"/>
  <c r="J820" i="11"/>
  <c r="J819" i="11"/>
  <c r="J818" i="11"/>
  <c r="J817" i="11"/>
  <c r="J816" i="11"/>
  <c r="J815" i="11"/>
  <c r="J814" i="11"/>
  <c r="J813" i="11"/>
  <c r="J812" i="11"/>
  <c r="J811" i="11"/>
  <c r="J810" i="11"/>
  <c r="J809" i="11"/>
  <c r="J808" i="11"/>
  <c r="J807" i="11"/>
  <c r="C839" i="11"/>
  <c r="D839" i="11"/>
  <c r="E839" i="11"/>
  <c r="F839" i="11"/>
  <c r="C838" i="11"/>
  <c r="D838" i="11"/>
  <c r="E838" i="11"/>
  <c r="F838" i="11"/>
  <c r="C835" i="11"/>
  <c r="D835" i="11"/>
  <c r="F835" i="11"/>
  <c r="E835" i="11"/>
  <c r="G835" i="11"/>
  <c r="C836" i="11"/>
  <c r="D836" i="11"/>
  <c r="F836" i="11"/>
  <c r="E836" i="11"/>
  <c r="G836" i="11"/>
  <c r="K836" i="11"/>
  <c r="C837" i="11"/>
  <c r="D837" i="11"/>
  <c r="E837" i="11"/>
  <c r="F837" i="11"/>
  <c r="C834" i="11"/>
  <c r="D834" i="11"/>
  <c r="E834" i="11"/>
  <c r="F834" i="11"/>
  <c r="C833" i="11"/>
  <c r="D833" i="11"/>
  <c r="E833" i="11"/>
  <c r="F833" i="11"/>
  <c r="C832" i="11"/>
  <c r="D832" i="11"/>
  <c r="E832" i="11"/>
  <c r="F832" i="11"/>
  <c r="C831" i="11"/>
  <c r="D831" i="11"/>
  <c r="F831" i="11"/>
  <c r="E831" i="11"/>
  <c r="G831" i="11"/>
  <c r="K831" i="11"/>
  <c r="C828" i="11"/>
  <c r="D828" i="11"/>
  <c r="E828" i="11"/>
  <c r="F828" i="11"/>
  <c r="C829" i="11"/>
  <c r="D829" i="11"/>
  <c r="E829" i="11"/>
  <c r="F829" i="11"/>
  <c r="C830" i="11"/>
  <c r="D830" i="11"/>
  <c r="F830" i="11"/>
  <c r="E830" i="11"/>
  <c r="G830" i="11"/>
  <c r="K830" i="11"/>
  <c r="C827" i="11"/>
  <c r="D827" i="11"/>
  <c r="E827" i="11"/>
  <c r="F827" i="11"/>
  <c r="C826" i="11"/>
  <c r="D826" i="11"/>
  <c r="E826" i="11"/>
  <c r="F826" i="11"/>
  <c r="C825" i="11"/>
  <c r="D825" i="11"/>
  <c r="E825" i="11"/>
  <c r="F825" i="11"/>
  <c r="C824" i="11"/>
  <c r="D824" i="11"/>
  <c r="E824" i="11"/>
  <c r="F824" i="11"/>
  <c r="C821" i="11"/>
  <c r="D821" i="11"/>
  <c r="F821" i="11"/>
  <c r="E821" i="11"/>
  <c r="G821" i="11"/>
  <c r="K821" i="11"/>
  <c r="C822" i="11"/>
  <c r="D822" i="11"/>
  <c r="F822" i="11"/>
  <c r="E822" i="11"/>
  <c r="G822" i="11"/>
  <c r="K822" i="11"/>
  <c r="C823" i="11"/>
  <c r="D823" i="11"/>
  <c r="F823" i="11"/>
  <c r="E823" i="11"/>
  <c r="G823" i="11"/>
  <c r="K823" i="11"/>
  <c r="C820" i="11"/>
  <c r="D820" i="11"/>
  <c r="E820" i="11"/>
  <c r="F820" i="11"/>
  <c r="C819" i="11"/>
  <c r="D819" i="11"/>
  <c r="E819" i="11"/>
  <c r="F819" i="11"/>
  <c r="C818" i="11"/>
  <c r="D818" i="11"/>
  <c r="E818" i="11"/>
  <c r="F818" i="11"/>
  <c r="C817" i="11"/>
  <c r="D817" i="11"/>
  <c r="E817" i="11"/>
  <c r="F817" i="11"/>
  <c r="C814" i="11"/>
  <c r="D814" i="11"/>
  <c r="E814" i="11"/>
  <c r="F814" i="11"/>
  <c r="C815" i="11"/>
  <c r="D815" i="11"/>
  <c r="F815" i="11"/>
  <c r="E815" i="11"/>
  <c r="G815" i="11"/>
  <c r="K815" i="11"/>
  <c r="C816" i="11"/>
  <c r="D816" i="11"/>
  <c r="F816" i="11"/>
  <c r="E816" i="11"/>
  <c r="G816" i="11"/>
  <c r="C813" i="11"/>
  <c r="D813" i="11"/>
  <c r="E813" i="11"/>
  <c r="F813" i="11"/>
  <c r="C812" i="11"/>
  <c r="D812" i="11"/>
  <c r="E812" i="11"/>
  <c r="F812" i="11"/>
  <c r="C811" i="11"/>
  <c r="D811" i="11"/>
  <c r="F811" i="11"/>
  <c r="E811" i="11"/>
  <c r="G811" i="11"/>
  <c r="K811" i="11"/>
  <c r="C810" i="11"/>
  <c r="D810" i="11"/>
  <c r="E810" i="11"/>
  <c r="F810" i="11"/>
  <c r="C807" i="11"/>
  <c r="D807" i="11"/>
  <c r="E807" i="11"/>
  <c r="F807" i="11"/>
  <c r="C808" i="11"/>
  <c r="D808" i="11"/>
  <c r="E808" i="11"/>
  <c r="F808" i="11"/>
  <c r="C809" i="11"/>
  <c r="D809" i="11"/>
  <c r="F809" i="11"/>
  <c r="E809" i="11"/>
  <c r="G809" i="11"/>
  <c r="K809" i="11"/>
  <c r="C806" i="11"/>
  <c r="D806" i="11"/>
  <c r="F806" i="11"/>
  <c r="E806" i="11"/>
  <c r="G806" i="11"/>
  <c r="J806" i="11"/>
  <c r="K806" i="11"/>
  <c r="J804" i="11"/>
  <c r="J805" i="11"/>
  <c r="C805" i="11"/>
  <c r="D805" i="11"/>
  <c r="E805" i="11"/>
  <c r="F805" i="11"/>
  <c r="C804" i="11"/>
  <c r="D804" i="11"/>
  <c r="F804" i="11"/>
  <c r="E804" i="11"/>
  <c r="G804" i="11"/>
  <c r="K804" i="11"/>
  <c r="C803" i="11"/>
  <c r="D803" i="11"/>
  <c r="E803" i="11"/>
  <c r="F803" i="11"/>
  <c r="AI24" i="2"/>
  <c r="J767" i="11"/>
  <c r="J768" i="11"/>
  <c r="J769" i="11"/>
  <c r="J770" i="11"/>
  <c r="J771" i="11"/>
  <c r="J772" i="11"/>
  <c r="J774" i="11"/>
  <c r="J775" i="11"/>
  <c r="J776" i="11"/>
  <c r="J777" i="11"/>
  <c r="J778" i="11"/>
  <c r="J779" i="11"/>
  <c r="J781" i="11"/>
  <c r="J782" i="11"/>
  <c r="J783" i="11"/>
  <c r="J784" i="11"/>
  <c r="J785" i="11"/>
  <c r="J786" i="11"/>
  <c r="J788" i="11"/>
  <c r="J789" i="11"/>
  <c r="J790" i="11"/>
  <c r="J791" i="11"/>
  <c r="J792" i="11"/>
  <c r="J793" i="11"/>
  <c r="J794" i="11"/>
  <c r="J795" i="11"/>
  <c r="J796" i="11"/>
  <c r="J797" i="11"/>
  <c r="J798" i="11"/>
  <c r="J799" i="11"/>
  <c r="J800" i="11"/>
  <c r="J801" i="11"/>
  <c r="J802" i="11"/>
  <c r="J803" i="11"/>
  <c r="I787" i="11"/>
  <c r="J787" i="11"/>
  <c r="I780" i="11"/>
  <c r="J780" i="11"/>
  <c r="I773" i="11"/>
  <c r="J773" i="11"/>
  <c r="I766" i="11"/>
  <c r="J766" i="11"/>
  <c r="C800" i="11"/>
  <c r="D800" i="11"/>
  <c r="E800" i="11"/>
  <c r="F800" i="11"/>
  <c r="C801" i="11"/>
  <c r="D801" i="11"/>
  <c r="E801" i="11"/>
  <c r="F801" i="11"/>
  <c r="C802" i="11"/>
  <c r="D802" i="11"/>
  <c r="E802" i="11"/>
  <c r="F802" i="11"/>
  <c r="C799" i="11"/>
  <c r="D799" i="11"/>
  <c r="E799" i="11"/>
  <c r="F799" i="11"/>
  <c r="C798" i="11"/>
  <c r="D798" i="11"/>
  <c r="E798" i="11"/>
  <c r="F798" i="11"/>
  <c r="C797" i="11"/>
  <c r="D797" i="11"/>
  <c r="E797" i="11"/>
  <c r="F797" i="11"/>
  <c r="C796" i="11"/>
  <c r="D796" i="11"/>
  <c r="E796" i="11"/>
  <c r="F796" i="11"/>
  <c r="C793" i="11"/>
  <c r="D793" i="11"/>
  <c r="E793" i="11"/>
  <c r="F793" i="11"/>
  <c r="C794" i="11"/>
  <c r="D794" i="11"/>
  <c r="E794" i="11"/>
  <c r="F794" i="11"/>
  <c r="C795" i="11"/>
  <c r="D795" i="11"/>
  <c r="E795" i="11"/>
  <c r="F795" i="11"/>
  <c r="C792" i="11"/>
  <c r="D792" i="11"/>
  <c r="E792" i="11"/>
  <c r="F792" i="11"/>
  <c r="C791" i="11"/>
  <c r="D791" i="11"/>
  <c r="E791" i="11"/>
  <c r="F791" i="11"/>
  <c r="C790" i="11"/>
  <c r="D790" i="11"/>
  <c r="E790" i="11"/>
  <c r="F790" i="11"/>
  <c r="C789" i="11"/>
  <c r="D789" i="11"/>
  <c r="E789" i="11"/>
  <c r="F789" i="11"/>
  <c r="C786" i="11"/>
  <c r="D786" i="11"/>
  <c r="E786" i="11"/>
  <c r="F786" i="11"/>
  <c r="C787" i="11"/>
  <c r="D787" i="11"/>
  <c r="E787" i="11"/>
  <c r="F787" i="11"/>
  <c r="C788" i="11"/>
  <c r="D788" i="11"/>
  <c r="E788" i="11"/>
  <c r="F788" i="11"/>
  <c r="C785" i="11"/>
  <c r="D785" i="11"/>
  <c r="E785" i="11"/>
  <c r="F785" i="11"/>
  <c r="C784" i="11"/>
  <c r="D784" i="11"/>
  <c r="E784" i="11"/>
  <c r="F784" i="11"/>
  <c r="C783" i="11"/>
  <c r="D783" i="11"/>
  <c r="E783" i="11"/>
  <c r="F783" i="11"/>
  <c r="C782" i="11"/>
  <c r="D782" i="11"/>
  <c r="E782" i="11"/>
  <c r="F782" i="11"/>
  <c r="C779" i="11"/>
  <c r="D779" i="11"/>
  <c r="E779" i="11"/>
  <c r="F779" i="11"/>
  <c r="C780" i="11"/>
  <c r="D780" i="11"/>
  <c r="E780" i="11"/>
  <c r="F780" i="11"/>
  <c r="C781" i="11"/>
  <c r="D781" i="11"/>
  <c r="E781" i="11"/>
  <c r="F781" i="11"/>
  <c r="C778" i="11"/>
  <c r="D778" i="11"/>
  <c r="E778" i="11"/>
  <c r="F778" i="11"/>
  <c r="C777" i="11"/>
  <c r="D777" i="11"/>
  <c r="E777" i="11"/>
  <c r="F777" i="11"/>
  <c r="C776" i="11"/>
  <c r="D776" i="11"/>
  <c r="E776" i="11"/>
  <c r="F776" i="11"/>
  <c r="P6" i="30"/>
  <c r="O6" i="30"/>
  <c r="J735" i="11"/>
  <c r="J736" i="11"/>
  <c r="J737" i="11"/>
  <c r="J739" i="11"/>
  <c r="J740" i="11"/>
  <c r="J741" i="11"/>
  <c r="J742" i="11"/>
  <c r="J743" i="11"/>
  <c r="J744" i="11"/>
  <c r="J746" i="11"/>
  <c r="J747" i="11"/>
  <c r="J748" i="11"/>
  <c r="J749" i="11"/>
  <c r="J750" i="11"/>
  <c r="J751" i="11"/>
  <c r="J753" i="11"/>
  <c r="J754" i="11"/>
  <c r="J755" i="11"/>
  <c r="J756" i="11"/>
  <c r="J757" i="11"/>
  <c r="J758" i="11"/>
  <c r="J760" i="11"/>
  <c r="J761" i="11"/>
  <c r="J762" i="11"/>
  <c r="J763" i="11"/>
  <c r="J764" i="11"/>
  <c r="J765" i="11"/>
  <c r="I759" i="11"/>
  <c r="J759" i="11"/>
  <c r="I752" i="11"/>
  <c r="J752" i="11"/>
  <c r="I745" i="11"/>
  <c r="J745" i="11"/>
  <c r="I738" i="11"/>
  <c r="J738" i="11"/>
  <c r="C738" i="11"/>
  <c r="D738" i="11"/>
  <c r="F738" i="11"/>
  <c r="E738" i="11"/>
  <c r="C775" i="11"/>
  <c r="D775" i="11"/>
  <c r="F775" i="11"/>
  <c r="E775" i="11"/>
  <c r="G775" i="11"/>
  <c r="K775" i="11"/>
  <c r="C771" i="11"/>
  <c r="D771" i="11"/>
  <c r="F771" i="11"/>
  <c r="E771" i="11"/>
  <c r="G771" i="11"/>
  <c r="K771" i="11"/>
  <c r="C772" i="11"/>
  <c r="D772" i="11"/>
  <c r="E772" i="11"/>
  <c r="F772" i="11"/>
  <c r="C773" i="11"/>
  <c r="D773" i="11"/>
  <c r="F773" i="11"/>
  <c r="E773" i="11"/>
  <c r="G773" i="11"/>
  <c r="K773" i="11"/>
  <c r="C774" i="11"/>
  <c r="D774" i="11"/>
  <c r="F774" i="11"/>
  <c r="E774" i="11"/>
  <c r="G774" i="11"/>
  <c r="K774" i="11"/>
  <c r="C770" i="11"/>
  <c r="D770" i="11"/>
  <c r="E770" i="11"/>
  <c r="F770" i="11"/>
  <c r="C769" i="11"/>
  <c r="D769" i="11"/>
  <c r="E769" i="11"/>
  <c r="F769" i="11"/>
  <c r="C768" i="11"/>
  <c r="D768" i="11"/>
  <c r="F768" i="11"/>
  <c r="E768" i="11"/>
  <c r="G768" i="11"/>
  <c r="C766" i="11"/>
  <c r="D766" i="11"/>
  <c r="F766" i="11"/>
  <c r="E766" i="11"/>
  <c r="G766" i="11"/>
  <c r="K766" i="11"/>
  <c r="C767" i="11"/>
  <c r="D767" i="11"/>
  <c r="F767" i="11"/>
  <c r="E767" i="11"/>
  <c r="G767" i="11"/>
  <c r="K767" i="11"/>
  <c r="V765" i="11"/>
  <c r="R765" i="11"/>
  <c r="Z765" i="11"/>
  <c r="X765" i="11"/>
  <c r="W765" i="11"/>
  <c r="S765" i="11"/>
  <c r="P765" i="11"/>
  <c r="N765" i="11"/>
  <c r="O765" i="11"/>
  <c r="C763" i="11"/>
  <c r="D763" i="11"/>
  <c r="F763" i="11"/>
  <c r="E763" i="11"/>
  <c r="G763" i="11"/>
  <c r="K763" i="11"/>
  <c r="C762" i="11"/>
  <c r="D762" i="11"/>
  <c r="F762" i="11"/>
  <c r="E762" i="11"/>
  <c r="G762" i="11"/>
  <c r="C761" i="11"/>
  <c r="D761" i="11"/>
  <c r="E761" i="11"/>
  <c r="F761" i="11"/>
  <c r="C758" i="11"/>
  <c r="D758" i="11"/>
  <c r="E758" i="11"/>
  <c r="F758" i="11"/>
  <c r="C759" i="11"/>
  <c r="D759" i="11"/>
  <c r="F759" i="11"/>
  <c r="E759" i="11"/>
  <c r="G759" i="11"/>
  <c r="C760" i="11"/>
  <c r="D760" i="11"/>
  <c r="E760" i="11"/>
  <c r="F760" i="11"/>
  <c r="C757" i="11"/>
  <c r="D757" i="11"/>
  <c r="F757" i="11"/>
  <c r="E757" i="11"/>
  <c r="G757" i="11"/>
  <c r="C756" i="11"/>
  <c r="D756" i="11"/>
  <c r="E756" i="11"/>
  <c r="F756" i="11"/>
  <c r="C755" i="11"/>
  <c r="D755" i="11"/>
  <c r="E755" i="11"/>
  <c r="F755" i="11"/>
  <c r="C754" i="11"/>
  <c r="D754" i="11"/>
  <c r="E754" i="11"/>
  <c r="F754" i="11"/>
  <c r="C753" i="11"/>
  <c r="D753" i="11"/>
  <c r="F753" i="11"/>
  <c r="E753" i="11"/>
  <c r="G753" i="11"/>
  <c r="C751" i="11"/>
  <c r="D751" i="11"/>
  <c r="F751" i="11"/>
  <c r="E751" i="11"/>
  <c r="C752" i="11"/>
  <c r="D752" i="11"/>
  <c r="F752" i="11"/>
  <c r="E752" i="11"/>
  <c r="C750" i="11"/>
  <c r="D750" i="11"/>
  <c r="E750" i="11"/>
  <c r="F750" i="11"/>
  <c r="C749" i="11"/>
  <c r="D749" i="11"/>
  <c r="F749" i="11"/>
  <c r="E749" i="11"/>
  <c r="G749" i="11"/>
  <c r="K749" i="11"/>
  <c r="C748" i="11"/>
  <c r="D748" i="11"/>
  <c r="F748" i="11"/>
  <c r="E748" i="11"/>
  <c r="G748" i="11"/>
  <c r="C747" i="11"/>
  <c r="D747" i="11"/>
  <c r="F747" i="11"/>
  <c r="E747" i="11"/>
  <c r="G747" i="11"/>
  <c r="K747" i="11"/>
  <c r="C744" i="11"/>
  <c r="D744" i="11"/>
  <c r="E744" i="11"/>
  <c r="F744" i="11"/>
  <c r="C745" i="11"/>
  <c r="D745" i="11"/>
  <c r="E745" i="11"/>
  <c r="F745" i="11"/>
  <c r="C746" i="11"/>
  <c r="D746" i="11"/>
  <c r="F746" i="11"/>
  <c r="E746" i="11"/>
  <c r="G746" i="11"/>
  <c r="M15" i="30"/>
  <c r="V14" i="30"/>
  <c r="V15" i="30"/>
  <c r="M16" i="30"/>
  <c r="M14" i="30"/>
  <c r="Y12" i="30"/>
  <c r="X12" i="30"/>
  <c r="Y13" i="30"/>
  <c r="X13" i="30"/>
  <c r="Z13" i="30"/>
  <c r="AA13" i="30"/>
  <c r="P2" i="30"/>
  <c r="O2" i="30"/>
  <c r="P3" i="30"/>
  <c r="O3" i="30"/>
  <c r="P4" i="30"/>
  <c r="O4" i="30"/>
  <c r="P5" i="30"/>
  <c r="O5" i="30"/>
  <c r="Q5" i="30"/>
  <c r="R5" i="30"/>
  <c r="Q3" i="30"/>
  <c r="R3" i="30"/>
  <c r="C743" i="11"/>
  <c r="D743" i="11"/>
  <c r="E743" i="11"/>
  <c r="F743" i="11"/>
  <c r="C742" i="11"/>
  <c r="D742" i="11"/>
  <c r="F742" i="11"/>
  <c r="E742" i="11"/>
  <c r="C741" i="11"/>
  <c r="D741" i="11"/>
  <c r="E741" i="11"/>
  <c r="F741" i="11"/>
  <c r="J719" i="11"/>
  <c r="J720" i="11"/>
  <c r="J721" i="11"/>
  <c r="J722" i="11"/>
  <c r="J723" i="11"/>
  <c r="J724" i="11"/>
  <c r="J725" i="11"/>
  <c r="J726" i="11"/>
  <c r="J727" i="11"/>
  <c r="J728" i="11"/>
  <c r="J729" i="11"/>
  <c r="J730" i="11"/>
  <c r="J731" i="11"/>
  <c r="J732" i="11"/>
  <c r="J733" i="11"/>
  <c r="J734" i="11"/>
  <c r="C740" i="11"/>
  <c r="D740" i="11"/>
  <c r="E740" i="11"/>
  <c r="F740" i="11"/>
  <c r="C737" i="11"/>
  <c r="D737" i="11"/>
  <c r="F737" i="11"/>
  <c r="E737" i="11"/>
  <c r="C739" i="11"/>
  <c r="D739" i="11"/>
  <c r="F739" i="11"/>
  <c r="E739" i="11"/>
  <c r="C736" i="11"/>
  <c r="D736" i="11"/>
  <c r="F736" i="11"/>
  <c r="E736" i="11"/>
  <c r="C734" i="11"/>
  <c r="D734" i="11"/>
  <c r="F734" i="11"/>
  <c r="E734" i="11"/>
  <c r="C735" i="11"/>
  <c r="D735" i="11"/>
  <c r="F735" i="11"/>
  <c r="E735" i="11"/>
  <c r="C733" i="11"/>
  <c r="D733" i="11"/>
  <c r="F733" i="11"/>
  <c r="E733" i="11"/>
  <c r="G733" i="11"/>
  <c r="K733" i="11"/>
  <c r="C730" i="11"/>
  <c r="D730" i="11"/>
  <c r="F730" i="11"/>
  <c r="E730" i="11"/>
  <c r="C731" i="11"/>
  <c r="D731" i="11"/>
  <c r="F731" i="11"/>
  <c r="E731" i="11"/>
  <c r="C732" i="11"/>
  <c r="D732" i="11"/>
  <c r="E732" i="11"/>
  <c r="F732" i="11"/>
  <c r="C729" i="11"/>
  <c r="D729" i="11"/>
  <c r="F729" i="11"/>
  <c r="E729" i="11"/>
  <c r="C728" i="11"/>
  <c r="D728" i="11"/>
  <c r="F728" i="11"/>
  <c r="E728" i="11"/>
  <c r="C727" i="11"/>
  <c r="D727" i="11"/>
  <c r="F727" i="11"/>
  <c r="E727" i="11"/>
  <c r="C726" i="11"/>
  <c r="D726" i="11"/>
  <c r="F726" i="11"/>
  <c r="E726" i="11"/>
  <c r="C723" i="11"/>
  <c r="D723" i="11"/>
  <c r="F723" i="11"/>
  <c r="E723" i="11"/>
  <c r="C724" i="11"/>
  <c r="D724" i="11"/>
  <c r="F724" i="11"/>
  <c r="E724" i="11"/>
  <c r="C725" i="11"/>
  <c r="D725" i="11"/>
  <c r="E725" i="11"/>
  <c r="F725" i="11"/>
  <c r="C722" i="11"/>
  <c r="D722" i="11"/>
  <c r="F722" i="11"/>
  <c r="E722" i="11"/>
  <c r="C721" i="11"/>
  <c r="D721" i="11"/>
  <c r="F721" i="11"/>
  <c r="E721" i="11"/>
  <c r="C720" i="11"/>
  <c r="D720" i="11"/>
  <c r="F720" i="11"/>
  <c r="E720" i="11"/>
  <c r="G720" i="11"/>
  <c r="K720" i="11"/>
  <c r="C719" i="11"/>
  <c r="D719" i="11"/>
  <c r="F719" i="11"/>
  <c r="E719" i="11"/>
  <c r="C716" i="11"/>
  <c r="D716" i="11"/>
  <c r="F716" i="11"/>
  <c r="E716" i="11"/>
  <c r="G716" i="11"/>
  <c r="C717" i="11"/>
  <c r="D717" i="11"/>
  <c r="F717" i="11"/>
  <c r="E717" i="11"/>
  <c r="C718" i="11"/>
  <c r="D718" i="11"/>
  <c r="F718" i="11"/>
  <c r="E718" i="11"/>
  <c r="G718" i="11"/>
  <c r="J718" i="11"/>
  <c r="K718" i="11"/>
  <c r="C715" i="11"/>
  <c r="D715" i="11"/>
  <c r="F715" i="11"/>
  <c r="E715" i="11"/>
  <c r="J675" i="11"/>
  <c r="J676" i="11"/>
  <c r="J677" i="11"/>
  <c r="J678" i="11"/>
  <c r="J679" i="11"/>
  <c r="J680" i="11"/>
  <c r="J681" i="11"/>
  <c r="J682" i="11"/>
  <c r="J683" i="11"/>
  <c r="J684" i="11"/>
  <c r="J685" i="11"/>
  <c r="J686" i="11"/>
  <c r="J687" i="11"/>
  <c r="J688" i="11"/>
  <c r="J689" i="11"/>
  <c r="J690" i="11"/>
  <c r="J691" i="11"/>
  <c r="J692" i="11"/>
  <c r="J693" i="11"/>
  <c r="J694" i="11"/>
  <c r="J695" i="11"/>
  <c r="J696" i="11"/>
  <c r="J697" i="11"/>
  <c r="J698" i="11"/>
  <c r="J699" i="11"/>
  <c r="J700" i="11"/>
  <c r="J701" i="11"/>
  <c r="J702" i="11"/>
  <c r="J703" i="11"/>
  <c r="J704" i="11"/>
  <c r="J705" i="11"/>
  <c r="J706" i="11"/>
  <c r="J707" i="11"/>
  <c r="J708" i="11"/>
  <c r="J709" i="11"/>
  <c r="J710" i="11"/>
  <c r="J711" i="11"/>
  <c r="J712" i="11"/>
  <c r="J713" i="11"/>
  <c r="J714" i="11"/>
  <c r="J715" i="11"/>
  <c r="J716" i="11"/>
  <c r="J717" i="11"/>
  <c r="J674" i="11"/>
  <c r="C714" i="11"/>
  <c r="D714" i="11"/>
  <c r="F714" i="11"/>
  <c r="E714" i="11"/>
  <c r="C713" i="11"/>
  <c r="D713" i="11"/>
  <c r="E713" i="11"/>
  <c r="F713" i="11"/>
  <c r="C712" i="11"/>
  <c r="D712" i="11"/>
  <c r="F712" i="11"/>
  <c r="E712" i="11"/>
  <c r="C707" i="11"/>
  <c r="D707" i="11"/>
  <c r="F707" i="11"/>
  <c r="E707" i="11"/>
  <c r="C708" i="11"/>
  <c r="D708" i="11"/>
  <c r="F708" i="11"/>
  <c r="E708" i="11"/>
  <c r="C709" i="11"/>
  <c r="D709" i="11"/>
  <c r="E709" i="11"/>
  <c r="F709" i="11"/>
  <c r="C710" i="11"/>
  <c r="D710" i="11"/>
  <c r="E710" i="11"/>
  <c r="F710" i="11"/>
  <c r="C711" i="11"/>
  <c r="D711" i="11"/>
  <c r="F711" i="11"/>
  <c r="E711" i="11"/>
  <c r="G711" i="11"/>
  <c r="K711" i="11"/>
  <c r="C706" i="11"/>
  <c r="D706" i="11"/>
  <c r="F706" i="11"/>
  <c r="E706" i="11"/>
  <c r="C705" i="11"/>
  <c r="D705" i="11"/>
  <c r="F705" i="11"/>
  <c r="E705" i="11"/>
  <c r="C702" i="11"/>
  <c r="D702" i="11"/>
  <c r="F702" i="11"/>
  <c r="E702" i="11"/>
  <c r="C703" i="11"/>
  <c r="D703" i="11"/>
  <c r="F703" i="11"/>
  <c r="E703" i="11"/>
  <c r="G703" i="11"/>
  <c r="K703" i="11"/>
  <c r="C704" i="11"/>
  <c r="D704" i="11"/>
  <c r="F704" i="11"/>
  <c r="E704" i="11"/>
  <c r="C701" i="11"/>
  <c r="D701" i="11"/>
  <c r="F701" i="11"/>
  <c r="E701" i="11"/>
  <c r="C700" i="11"/>
  <c r="D700" i="11"/>
  <c r="E700" i="11"/>
  <c r="F700" i="11"/>
  <c r="C699" i="11"/>
  <c r="D699" i="11"/>
  <c r="F699" i="11"/>
  <c r="E699" i="11"/>
  <c r="C698" i="11"/>
  <c r="D698" i="11"/>
  <c r="F698" i="11"/>
  <c r="E698" i="11"/>
  <c r="G698" i="11"/>
  <c r="K698" i="11"/>
  <c r="C695" i="11"/>
  <c r="D695" i="11"/>
  <c r="F695" i="11"/>
  <c r="E695" i="11"/>
  <c r="G695" i="11"/>
  <c r="C696" i="11"/>
  <c r="D696" i="11"/>
  <c r="F696" i="11"/>
  <c r="E696" i="11"/>
  <c r="C697" i="11"/>
  <c r="D697" i="11"/>
  <c r="F697" i="11"/>
  <c r="E697" i="11"/>
  <c r="C694" i="11"/>
  <c r="D694" i="11"/>
  <c r="F694" i="11"/>
  <c r="E694" i="11"/>
  <c r="G694" i="11"/>
  <c r="K694" i="11"/>
  <c r="C693" i="11"/>
  <c r="D693" i="11"/>
  <c r="E693" i="11"/>
  <c r="F693" i="11"/>
  <c r="C692" i="11"/>
  <c r="D692" i="11"/>
  <c r="F692" i="11"/>
  <c r="E692" i="11"/>
  <c r="G692" i="11"/>
  <c r="K692" i="11"/>
  <c r="C691" i="11"/>
  <c r="D691" i="11"/>
  <c r="F691" i="11"/>
  <c r="E691" i="11"/>
  <c r="C688" i="11"/>
  <c r="D688" i="11"/>
  <c r="F688" i="11"/>
  <c r="E688" i="11"/>
  <c r="C689" i="11"/>
  <c r="D689" i="11"/>
  <c r="F689" i="11"/>
  <c r="E689" i="11"/>
  <c r="G689" i="11"/>
  <c r="K689" i="11"/>
  <c r="C690" i="11"/>
  <c r="D690" i="11"/>
  <c r="F690" i="11"/>
  <c r="E690" i="11"/>
  <c r="C687" i="11"/>
  <c r="D687" i="11"/>
  <c r="F687" i="11"/>
  <c r="E687" i="11"/>
  <c r="C686" i="11"/>
  <c r="D686" i="11"/>
  <c r="F686" i="11"/>
  <c r="E686" i="11"/>
  <c r="J647" i="11"/>
  <c r="J648" i="11"/>
  <c r="J649" i="11"/>
  <c r="J650" i="11"/>
  <c r="J651" i="11"/>
  <c r="J652" i="11"/>
  <c r="J653" i="11"/>
  <c r="J654" i="11"/>
  <c r="J655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2" i="11"/>
  <c r="J673" i="11"/>
  <c r="J646" i="11"/>
  <c r="C685" i="11"/>
  <c r="D685" i="11"/>
  <c r="E685" i="11"/>
  <c r="F685" i="11"/>
  <c r="C684" i="11"/>
  <c r="D684" i="11"/>
  <c r="E684" i="11"/>
  <c r="F684" i="11"/>
  <c r="C681" i="11"/>
  <c r="D681" i="11"/>
  <c r="E681" i="11"/>
  <c r="F681" i="11"/>
  <c r="C682" i="11"/>
  <c r="D682" i="11"/>
  <c r="E682" i="11"/>
  <c r="F682" i="11"/>
  <c r="C683" i="11"/>
  <c r="D683" i="11"/>
  <c r="F683" i="11"/>
  <c r="E683" i="11"/>
  <c r="G683" i="11"/>
  <c r="K683" i="11"/>
  <c r="C680" i="11"/>
  <c r="D680" i="11"/>
  <c r="E680" i="11"/>
  <c r="F680" i="11"/>
  <c r="C679" i="11"/>
  <c r="D679" i="11"/>
  <c r="E679" i="11"/>
  <c r="F679" i="11"/>
  <c r="C678" i="11"/>
  <c r="D678" i="11"/>
  <c r="E678" i="11"/>
  <c r="F678" i="11"/>
  <c r="C677" i="11"/>
  <c r="D677" i="11"/>
  <c r="E677" i="11"/>
  <c r="F677" i="11"/>
  <c r="C673" i="11"/>
  <c r="D673" i="11"/>
  <c r="F673" i="11"/>
  <c r="E673" i="11"/>
  <c r="G673" i="11"/>
  <c r="K673" i="11"/>
  <c r="C674" i="11"/>
  <c r="D674" i="11"/>
  <c r="E674" i="11"/>
  <c r="F674" i="11"/>
  <c r="C675" i="11"/>
  <c r="D675" i="11"/>
  <c r="E675" i="11"/>
  <c r="F675" i="11"/>
  <c r="C676" i="11"/>
  <c r="D676" i="11"/>
  <c r="E676" i="11"/>
  <c r="F676" i="11"/>
  <c r="C670" i="11"/>
  <c r="D670" i="11"/>
  <c r="E670" i="11"/>
  <c r="F670" i="11"/>
  <c r="C672" i="11"/>
  <c r="D672" i="11"/>
  <c r="F672" i="11"/>
  <c r="E672" i="11"/>
  <c r="G672" i="11"/>
  <c r="K672" i="11"/>
  <c r="C671" i="11"/>
  <c r="D671" i="11"/>
  <c r="E671" i="11"/>
  <c r="F671" i="11"/>
  <c r="C668" i="11"/>
  <c r="D668" i="11"/>
  <c r="E668" i="11"/>
  <c r="F668" i="11"/>
  <c r="C669" i="11"/>
  <c r="D669" i="11"/>
  <c r="E669" i="11"/>
  <c r="F669" i="11"/>
  <c r="C667" i="11"/>
  <c r="D667" i="11"/>
  <c r="E667" i="11"/>
  <c r="F667" i="11"/>
  <c r="C666" i="11"/>
  <c r="D666" i="11"/>
  <c r="E666" i="11"/>
  <c r="F666" i="11"/>
  <c r="C665" i="11"/>
  <c r="D665" i="11"/>
  <c r="E665" i="11"/>
  <c r="F665" i="11"/>
  <c r="C664" i="11"/>
  <c r="D664" i="11"/>
  <c r="F664" i="11"/>
  <c r="E664" i="11"/>
  <c r="G664" i="11"/>
  <c r="K664" i="11"/>
  <c r="C663" i="11"/>
  <c r="D663" i="11"/>
  <c r="F663" i="11"/>
  <c r="E663" i="11"/>
  <c r="G663" i="11"/>
  <c r="K663" i="11"/>
  <c r="C660" i="11"/>
  <c r="D660" i="11"/>
  <c r="E660" i="11"/>
  <c r="F660" i="11"/>
  <c r="C661" i="11"/>
  <c r="D661" i="11"/>
  <c r="F661" i="11"/>
  <c r="E661" i="11"/>
  <c r="G661" i="11"/>
  <c r="K661" i="11"/>
  <c r="C662" i="11"/>
  <c r="D662" i="11"/>
  <c r="E662" i="11"/>
  <c r="F662" i="11"/>
  <c r="C659" i="11"/>
  <c r="D659" i="11"/>
  <c r="E659" i="11"/>
  <c r="F659" i="11"/>
  <c r="C658" i="11"/>
  <c r="D658" i="11"/>
  <c r="E658" i="11"/>
  <c r="F658" i="11"/>
  <c r="AP32" i="2"/>
  <c r="AO32" i="2"/>
  <c r="AN32" i="2"/>
  <c r="AN30" i="2"/>
  <c r="AN31" i="2"/>
  <c r="AN33" i="2"/>
  <c r="AM32" i="2"/>
  <c r="AL32" i="2"/>
  <c r="AK32" i="2"/>
  <c r="AK30" i="2"/>
  <c r="AK31" i="2"/>
  <c r="AK33" i="2"/>
  <c r="AJ32" i="2"/>
  <c r="AJ30" i="2"/>
  <c r="AJ31" i="2"/>
  <c r="AJ33" i="2"/>
  <c r="AI32" i="2"/>
  <c r="AH32" i="2"/>
  <c r="AG32" i="2"/>
  <c r="AF32" i="2"/>
  <c r="AF30" i="2"/>
  <c r="AF31" i="2"/>
  <c r="AF33" i="2"/>
  <c r="AE32" i="2"/>
  <c r="AP30" i="2"/>
  <c r="AP31" i="2"/>
  <c r="AP33" i="2"/>
  <c r="AO30" i="2"/>
  <c r="AO31" i="2"/>
  <c r="AO33" i="2"/>
  <c r="AM30" i="2"/>
  <c r="AM31" i="2"/>
  <c r="AM33" i="2"/>
  <c r="AL30" i="2"/>
  <c r="AL31" i="2"/>
  <c r="AL33" i="2"/>
  <c r="AI30" i="2"/>
  <c r="AI31" i="2"/>
  <c r="AI33" i="2"/>
  <c r="AH30" i="2"/>
  <c r="AH31" i="2"/>
  <c r="AG30" i="2"/>
  <c r="AG31" i="2"/>
  <c r="AE30" i="2"/>
  <c r="AE31" i="2"/>
  <c r="AE33" i="2"/>
  <c r="AN22" i="2"/>
  <c r="AM22" i="2"/>
  <c r="AL22" i="2"/>
  <c r="AK22" i="2"/>
  <c r="AG22" i="2"/>
  <c r="AF22" i="2"/>
  <c r="AE22" i="2"/>
  <c r="AO16" i="2"/>
  <c r="AO22" i="2"/>
  <c r="AO26" i="2"/>
  <c r="AJ16" i="2"/>
  <c r="AJ22" i="2"/>
  <c r="AH16" i="2"/>
  <c r="AI16" i="2"/>
  <c r="AI22" i="2"/>
  <c r="J616" i="11"/>
  <c r="J617" i="11"/>
  <c r="J618" i="11"/>
  <c r="J619" i="11"/>
  <c r="J620" i="11"/>
  <c r="J621" i="11"/>
  <c r="J622" i="11"/>
  <c r="J623" i="11"/>
  <c r="J624" i="11"/>
  <c r="J625" i="11"/>
  <c r="J626" i="11"/>
  <c r="J627" i="11"/>
  <c r="J628" i="11"/>
  <c r="J629" i="11"/>
  <c r="J630" i="11"/>
  <c r="J631" i="11"/>
  <c r="J632" i="11"/>
  <c r="J633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15" i="11"/>
  <c r="C657" i="11"/>
  <c r="D657" i="11"/>
  <c r="F657" i="11"/>
  <c r="E657" i="11"/>
  <c r="G657" i="11"/>
  <c r="K657" i="11"/>
  <c r="C656" i="11"/>
  <c r="D656" i="11"/>
  <c r="F656" i="11"/>
  <c r="E656" i="11"/>
  <c r="C646" i="11"/>
  <c r="D646" i="11"/>
  <c r="E646" i="11"/>
  <c r="F646" i="11"/>
  <c r="C647" i="11"/>
  <c r="D647" i="11"/>
  <c r="E647" i="11"/>
  <c r="F647" i="11"/>
  <c r="C648" i="11"/>
  <c r="D648" i="11"/>
  <c r="E648" i="11"/>
  <c r="F648" i="11"/>
  <c r="C649" i="11"/>
  <c r="D649" i="11"/>
  <c r="E649" i="11"/>
  <c r="F649" i="11"/>
  <c r="C650" i="11"/>
  <c r="D650" i="11"/>
  <c r="F650" i="11"/>
  <c r="E650" i="11"/>
  <c r="G650" i="11"/>
  <c r="K650" i="11"/>
  <c r="C651" i="11"/>
  <c r="D651" i="11"/>
  <c r="E651" i="11"/>
  <c r="F651" i="11"/>
  <c r="C652" i="11"/>
  <c r="D652" i="11"/>
  <c r="F652" i="11"/>
  <c r="E652" i="11"/>
  <c r="G652" i="11"/>
  <c r="K652" i="11"/>
  <c r="C653" i="11"/>
  <c r="D653" i="11"/>
  <c r="F653" i="11"/>
  <c r="E653" i="11"/>
  <c r="G653" i="11"/>
  <c r="K653" i="11"/>
  <c r="C654" i="11"/>
  <c r="D654" i="11"/>
  <c r="F654" i="11"/>
  <c r="E654" i="11"/>
  <c r="G654" i="11"/>
  <c r="K654" i="11"/>
  <c r="C655" i="11"/>
  <c r="D655" i="11"/>
  <c r="E655" i="11"/>
  <c r="F655" i="11"/>
  <c r="C645" i="11"/>
  <c r="D645" i="11"/>
  <c r="E645" i="11"/>
  <c r="F645" i="11"/>
  <c r="C644" i="11"/>
  <c r="D644" i="11"/>
  <c r="E644" i="11"/>
  <c r="F644" i="11"/>
  <c r="C643" i="11"/>
  <c r="D643" i="11"/>
  <c r="F643" i="11"/>
  <c r="E643" i="11"/>
  <c r="G643" i="11"/>
  <c r="K643" i="11"/>
  <c r="C642" i="11"/>
  <c r="D642" i="11"/>
  <c r="E642" i="11"/>
  <c r="F642" i="11"/>
  <c r="C639" i="11"/>
  <c r="D639" i="11"/>
  <c r="F639" i="11"/>
  <c r="E639" i="11"/>
  <c r="C640" i="11"/>
  <c r="D640" i="11"/>
  <c r="F640" i="11"/>
  <c r="E640" i="11"/>
  <c r="G640" i="11"/>
  <c r="K640" i="11"/>
  <c r="C641" i="11"/>
  <c r="D641" i="11"/>
  <c r="E641" i="11"/>
  <c r="F641" i="11"/>
  <c r="C638" i="11"/>
  <c r="D638" i="11"/>
  <c r="E638" i="11"/>
  <c r="F638" i="11"/>
  <c r="C637" i="11"/>
  <c r="D637" i="11"/>
  <c r="E637" i="11"/>
  <c r="F637" i="11"/>
  <c r="C636" i="11"/>
  <c r="D636" i="11"/>
  <c r="E636" i="11"/>
  <c r="F636" i="11"/>
  <c r="C635" i="11"/>
  <c r="D635" i="11"/>
  <c r="F635" i="11"/>
  <c r="E635" i="11"/>
  <c r="C632" i="11"/>
  <c r="D632" i="11"/>
  <c r="E632" i="11"/>
  <c r="F632" i="11"/>
  <c r="C633" i="11"/>
  <c r="D633" i="11"/>
  <c r="E633" i="11"/>
  <c r="F633" i="11"/>
  <c r="C634" i="11"/>
  <c r="D634" i="11"/>
  <c r="E634" i="11"/>
  <c r="F634" i="11"/>
  <c r="C631" i="11"/>
  <c r="D631" i="11"/>
  <c r="F631" i="11"/>
  <c r="E631" i="11"/>
  <c r="G631" i="11"/>
  <c r="K631" i="11"/>
  <c r="C630" i="11"/>
  <c r="D630" i="11"/>
  <c r="F630" i="11"/>
  <c r="E630" i="11"/>
  <c r="G630" i="11"/>
  <c r="K630" i="11"/>
  <c r="C629" i="11"/>
  <c r="D629" i="11"/>
  <c r="E629" i="11"/>
  <c r="F629" i="11"/>
  <c r="C628" i="11"/>
  <c r="D628" i="11"/>
  <c r="E628" i="11"/>
  <c r="F628" i="11"/>
  <c r="C625" i="11"/>
  <c r="D625" i="11"/>
  <c r="E625" i="11"/>
  <c r="F625" i="11"/>
  <c r="C626" i="11"/>
  <c r="D626" i="11"/>
  <c r="F626" i="11"/>
  <c r="E626" i="11"/>
  <c r="G626" i="11"/>
  <c r="K626" i="11"/>
  <c r="C627" i="11"/>
  <c r="D627" i="11"/>
  <c r="E627" i="11"/>
  <c r="F627" i="11"/>
  <c r="C624" i="11"/>
  <c r="D624" i="11"/>
  <c r="E624" i="11"/>
  <c r="F624" i="11"/>
  <c r="T30" i="2"/>
  <c r="T31" i="2"/>
  <c r="U30" i="2"/>
  <c r="V30" i="2"/>
  <c r="W30" i="2"/>
  <c r="W31" i="2"/>
  <c r="X30" i="2"/>
  <c r="X31" i="2"/>
  <c r="Y30" i="2"/>
  <c r="Z30" i="2"/>
  <c r="Z31" i="2"/>
  <c r="AA30" i="2"/>
  <c r="AA31" i="2"/>
  <c r="AB30" i="2"/>
  <c r="AB31" i="2"/>
  <c r="AC30" i="2"/>
  <c r="U31" i="2"/>
  <c r="V31" i="2"/>
  <c r="Y31" i="2"/>
  <c r="AC31" i="2"/>
  <c r="AD30" i="2"/>
  <c r="AD31" i="2"/>
  <c r="C623" i="11"/>
  <c r="D623" i="11"/>
  <c r="F623" i="11"/>
  <c r="E623" i="11"/>
  <c r="Z615" i="11"/>
  <c r="F614" i="11"/>
  <c r="W615" i="11"/>
  <c r="V615" i="11"/>
  <c r="C614" i="11"/>
  <c r="S615" i="11"/>
  <c r="R615" i="11"/>
  <c r="N615" i="11"/>
  <c r="P615" i="11"/>
  <c r="D614" i="11"/>
  <c r="C613" i="11"/>
  <c r="D613" i="11"/>
  <c r="F613" i="11"/>
  <c r="E613" i="11"/>
  <c r="C622" i="11"/>
  <c r="D622" i="11"/>
  <c r="E622" i="11"/>
  <c r="F622" i="11"/>
  <c r="J585" i="11"/>
  <c r="J586" i="11"/>
  <c r="J587" i="11"/>
  <c r="J588" i="11"/>
  <c r="J589" i="11"/>
  <c r="J590" i="11"/>
  <c r="J591" i="11"/>
  <c r="J592" i="11"/>
  <c r="J593" i="11"/>
  <c r="J594" i="11"/>
  <c r="J595" i="11"/>
  <c r="J596" i="11"/>
  <c r="J597" i="11"/>
  <c r="J598" i="11"/>
  <c r="J599" i="11"/>
  <c r="J600" i="11"/>
  <c r="J601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584" i="11"/>
  <c r="C621" i="11"/>
  <c r="D621" i="11"/>
  <c r="E621" i="11"/>
  <c r="F621" i="11"/>
  <c r="C618" i="11"/>
  <c r="D618" i="11"/>
  <c r="F618" i="11"/>
  <c r="E618" i="11"/>
  <c r="C619" i="11"/>
  <c r="D619" i="11"/>
  <c r="E619" i="11"/>
  <c r="F619" i="11"/>
  <c r="C620" i="11"/>
  <c r="D620" i="11"/>
  <c r="F620" i="11"/>
  <c r="E620" i="11"/>
  <c r="G620" i="11"/>
  <c r="K620" i="11"/>
  <c r="C617" i="11"/>
  <c r="D617" i="11"/>
  <c r="E617" i="11"/>
  <c r="F617" i="11"/>
  <c r="C616" i="11"/>
  <c r="D616" i="11"/>
  <c r="F616" i="11"/>
  <c r="E616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4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3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0" i="11"/>
  <c r="A1081" i="11"/>
  <c r="A1082" i="11"/>
  <c r="A1083" i="11"/>
  <c r="A1084" i="11"/>
  <c r="A1085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A1114" i="11"/>
  <c r="A1115" i="11"/>
  <c r="A1116" i="11"/>
  <c r="A1117" i="11"/>
  <c r="A1118" i="11"/>
  <c r="A1119" i="11"/>
  <c r="A1120" i="11"/>
  <c r="A1121" i="11"/>
  <c r="A1122" i="11"/>
  <c r="A1123" i="11"/>
  <c r="A1124" i="11"/>
  <c r="A1125" i="11"/>
  <c r="A1126" i="11"/>
  <c r="A1127" i="11"/>
  <c r="A1128" i="11"/>
  <c r="A1129" i="11"/>
  <c r="A1130" i="11"/>
  <c r="A1131" i="11"/>
  <c r="A1132" i="11"/>
  <c r="A1133" i="11"/>
  <c r="A1134" i="11"/>
  <c r="A1135" i="11"/>
  <c r="A1136" i="11"/>
  <c r="A1137" i="11"/>
  <c r="A1138" i="11"/>
  <c r="A1139" i="11"/>
  <c r="A1140" i="11"/>
  <c r="A1141" i="11"/>
  <c r="A1142" i="11"/>
  <c r="A1143" i="11"/>
  <c r="A1144" i="11"/>
  <c r="A1145" i="11"/>
  <c r="A1146" i="11"/>
  <c r="A1147" i="11"/>
  <c r="A1148" i="11"/>
  <c r="A1149" i="11"/>
  <c r="A1150" i="11"/>
  <c r="A1151" i="11"/>
  <c r="A1152" i="11"/>
  <c r="A1153" i="11"/>
  <c r="A1154" i="11"/>
  <c r="A1155" i="11"/>
  <c r="A1156" i="11"/>
  <c r="A1157" i="11"/>
  <c r="A1158" i="11"/>
  <c r="A1159" i="11"/>
  <c r="A1160" i="11"/>
  <c r="A1161" i="11"/>
  <c r="A1162" i="11"/>
  <c r="A1163" i="11"/>
  <c r="A1164" i="11"/>
  <c r="A1165" i="11"/>
  <c r="A1166" i="11"/>
  <c r="A1167" i="11"/>
  <c r="A1168" i="11"/>
  <c r="A1169" i="11"/>
  <c r="A1170" i="11"/>
  <c r="A1171" i="11"/>
  <c r="A1172" i="11"/>
  <c r="A1173" i="11"/>
  <c r="A1174" i="11"/>
  <c r="A1175" i="11"/>
  <c r="A1176" i="11"/>
  <c r="A1177" i="11"/>
  <c r="A1178" i="11"/>
  <c r="A1179" i="11"/>
  <c r="A1180" i="11"/>
  <c r="A1181" i="11"/>
  <c r="A1182" i="11"/>
  <c r="A1183" i="11"/>
  <c r="A1184" i="11"/>
  <c r="A1185" i="11"/>
  <c r="A1186" i="11"/>
  <c r="A1187" i="11"/>
  <c r="A1188" i="11"/>
  <c r="A1189" i="11"/>
  <c r="A1190" i="11"/>
  <c r="A1191" i="11"/>
  <c r="A1192" i="11"/>
  <c r="A1193" i="11"/>
  <c r="A1194" i="11"/>
  <c r="A1195" i="11"/>
  <c r="A1196" i="11"/>
  <c r="A1197" i="11"/>
  <c r="A1198" i="11"/>
  <c r="A1199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7" i="11"/>
  <c r="A1228" i="11"/>
  <c r="A1229" i="11"/>
  <c r="A1230" i="11"/>
  <c r="A1231" i="11"/>
  <c r="A1232" i="11"/>
  <c r="A1233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6" i="11"/>
  <c r="A1247" i="11"/>
  <c r="A1248" i="11"/>
  <c r="A1249" i="11"/>
  <c r="A1250" i="11"/>
  <c r="A1251" i="11"/>
  <c r="A1252" i="11"/>
  <c r="A1253" i="11"/>
  <c r="A1254" i="11"/>
  <c r="A1255" i="11"/>
  <c r="A1256" i="11"/>
  <c r="A1257" i="11"/>
  <c r="A1258" i="11"/>
  <c r="A1259" i="11"/>
  <c r="A1260" i="11"/>
  <c r="A1261" i="11"/>
  <c r="A1262" i="11"/>
  <c r="A1263" i="11"/>
  <c r="A1264" i="11"/>
  <c r="A1265" i="11"/>
  <c r="A1266" i="11"/>
  <c r="A1267" i="11"/>
  <c r="A1268" i="11"/>
  <c r="A1269" i="11"/>
  <c r="A1270" i="11"/>
  <c r="A1271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89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A1301" i="11"/>
  <c r="A1302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A1327" i="11"/>
  <c r="A1328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A1395" i="11"/>
  <c r="A1396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A1413" i="11"/>
  <c r="A1414" i="11"/>
  <c r="A1415" i="11"/>
  <c r="A1416" i="11"/>
  <c r="A1417" i="11"/>
  <c r="A1418" i="11"/>
  <c r="A1419" i="11"/>
  <c r="A1420" i="11"/>
  <c r="A1421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A1438" i="11"/>
  <c r="A1439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A1452" i="11"/>
  <c r="A1453" i="11"/>
  <c r="A1454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A1470" i="11"/>
  <c r="A1471" i="11"/>
  <c r="A1472" i="11"/>
  <c r="A1473" i="11"/>
  <c r="A1474" i="11"/>
  <c r="A1475" i="11"/>
  <c r="A1476" i="11"/>
  <c r="A1477" i="11"/>
  <c r="A1478" i="11"/>
  <c r="A1479" i="11"/>
  <c r="A1480" i="11"/>
  <c r="A1481" i="11"/>
  <c r="A1482" i="11"/>
  <c r="A1483" i="11"/>
  <c r="A1484" i="11"/>
  <c r="A1485" i="11"/>
  <c r="A1486" i="11"/>
  <c r="A1487" i="11"/>
  <c r="A1488" i="11"/>
  <c r="A1489" i="11"/>
  <c r="A1490" i="11"/>
  <c r="A1491" i="11"/>
  <c r="A1492" i="11"/>
  <c r="A1493" i="11"/>
  <c r="A1494" i="11"/>
  <c r="A1495" i="11"/>
  <c r="A1496" i="11"/>
  <c r="A1497" i="11"/>
  <c r="A1498" i="11"/>
  <c r="A1499" i="11"/>
  <c r="A1500" i="11"/>
  <c r="A1501" i="11"/>
  <c r="A1502" i="11"/>
  <c r="A1503" i="11"/>
  <c r="A1504" i="11"/>
  <c r="A1505" i="11"/>
  <c r="A1506" i="11"/>
  <c r="A1507" i="11"/>
  <c r="A1508" i="11"/>
  <c r="A1509" i="11"/>
  <c r="A1510" i="11"/>
  <c r="A1511" i="11"/>
  <c r="A1512" i="11"/>
  <c r="A1513" i="11"/>
  <c r="A1514" i="11"/>
  <c r="A1515" i="11"/>
  <c r="A1516" i="11"/>
  <c r="A1517" i="11"/>
  <c r="A1518" i="11"/>
  <c r="A1519" i="11"/>
  <c r="A1520" i="11"/>
  <c r="A1521" i="11"/>
  <c r="A1522" i="11"/>
  <c r="A1523" i="11"/>
  <c r="A1524" i="11"/>
  <c r="A1525" i="11"/>
  <c r="A1526" i="11"/>
  <c r="A1527" i="11"/>
  <c r="A1528" i="11"/>
  <c r="A1529" i="11"/>
  <c r="A1530" i="11"/>
  <c r="A1531" i="11"/>
  <c r="A1532" i="11"/>
  <c r="A1533" i="11"/>
  <c r="A1534" i="11"/>
  <c r="A1535" i="11"/>
  <c r="A1536" i="11"/>
  <c r="A1537" i="11"/>
  <c r="A1538" i="11"/>
  <c r="A1539" i="11"/>
  <c r="A1540" i="11"/>
  <c r="A1541" i="11"/>
  <c r="A1542" i="11"/>
  <c r="A1543" i="11"/>
  <c r="A1544" i="11"/>
  <c r="A1545" i="11"/>
  <c r="A1546" i="11"/>
  <c r="A1547" i="11"/>
  <c r="A1548" i="11"/>
  <c r="A1549" i="11"/>
  <c r="A1550" i="11"/>
  <c r="A1551" i="11"/>
  <c r="A1552" i="11"/>
  <c r="A1553" i="11"/>
  <c r="A1554" i="11"/>
  <c r="A1555" i="11"/>
  <c r="A1556" i="11"/>
  <c r="A1557" i="11"/>
  <c r="A1558" i="11"/>
  <c r="A1559" i="11"/>
  <c r="A1560" i="11"/>
  <c r="A1561" i="11"/>
  <c r="A1562" i="11"/>
  <c r="A1563" i="11"/>
  <c r="A1564" i="11"/>
  <c r="A1565" i="11"/>
  <c r="A1566" i="11"/>
  <c r="A1567" i="11"/>
  <c r="A1568" i="11"/>
  <c r="A1569" i="11"/>
  <c r="A1570" i="11"/>
  <c r="A1571" i="11"/>
  <c r="A1572" i="11"/>
  <c r="A1573" i="11"/>
  <c r="A1574" i="11"/>
  <c r="A1575" i="11"/>
  <c r="A1576" i="11"/>
  <c r="A1577" i="11"/>
  <c r="A1578" i="11"/>
  <c r="A1579" i="11"/>
  <c r="A1580" i="11"/>
  <c r="A1581" i="11"/>
  <c r="A1582" i="11"/>
  <c r="A1583" i="11"/>
  <c r="A1584" i="11"/>
  <c r="A1585" i="11"/>
  <c r="A1586" i="11"/>
  <c r="A1587" i="11"/>
  <c r="A1588" i="11"/>
  <c r="A1589" i="11"/>
  <c r="A1590" i="11"/>
  <c r="A1591" i="11"/>
  <c r="A1592" i="11"/>
  <c r="A1593" i="11"/>
  <c r="A1594" i="11"/>
  <c r="A1595" i="11"/>
  <c r="A1596" i="11"/>
  <c r="A1597" i="11"/>
  <c r="A1598" i="11"/>
  <c r="A1599" i="11"/>
  <c r="A1600" i="11"/>
  <c r="A1601" i="11"/>
  <c r="A1602" i="11"/>
  <c r="A1603" i="11"/>
  <c r="A1604" i="11"/>
  <c r="A1605" i="11"/>
  <c r="A1606" i="11"/>
  <c r="A1607" i="11"/>
  <c r="A1608" i="11"/>
  <c r="A1609" i="11"/>
  <c r="A1610" i="11"/>
  <c r="A1611" i="11"/>
  <c r="A1612" i="11"/>
  <c r="A1613" i="11"/>
  <c r="A1614" i="11"/>
  <c r="A1615" i="11"/>
  <c r="A1616" i="11"/>
  <c r="A1617" i="11"/>
  <c r="A1618" i="11"/>
  <c r="A1619" i="11"/>
  <c r="A1620" i="11"/>
  <c r="A1621" i="11"/>
  <c r="A1622" i="11"/>
  <c r="A1623" i="11"/>
  <c r="A1624" i="11"/>
  <c r="A1625" i="11"/>
  <c r="A1626" i="11"/>
  <c r="A1627" i="11"/>
  <c r="A1628" i="11"/>
  <c r="A1629" i="11"/>
  <c r="A1630" i="11"/>
  <c r="A1631" i="11"/>
  <c r="A1632" i="11"/>
  <c r="A1633" i="11"/>
  <c r="A1634" i="11"/>
  <c r="A1635" i="11"/>
  <c r="A1636" i="11"/>
  <c r="A1637" i="11"/>
  <c r="A1638" i="11"/>
  <c r="A1639" i="11"/>
  <c r="A1640" i="11"/>
  <c r="A1641" i="11"/>
  <c r="A1642" i="11"/>
  <c r="A1643" i="11"/>
  <c r="A1644" i="11"/>
  <c r="A1645" i="11"/>
  <c r="A1646" i="11"/>
  <c r="A1647" i="11"/>
  <c r="A1648" i="11"/>
  <c r="A1649" i="11"/>
  <c r="A1650" i="11"/>
  <c r="A1651" i="11"/>
  <c r="A1652" i="11"/>
  <c r="A1653" i="11"/>
  <c r="A1654" i="11"/>
  <c r="A1655" i="11"/>
  <c r="A1656" i="11"/>
  <c r="A1657" i="11"/>
  <c r="A1658" i="11"/>
  <c r="A1659" i="11"/>
  <c r="A1660" i="11"/>
  <c r="A1661" i="11"/>
  <c r="A1662" i="11"/>
  <c r="A1663" i="11"/>
  <c r="A1664" i="11"/>
  <c r="A1665" i="11"/>
  <c r="A1666" i="11"/>
  <c r="A1667" i="11"/>
  <c r="A1668" i="11"/>
  <c r="A1669" i="11"/>
  <c r="A1670" i="11"/>
  <c r="A1671" i="11"/>
  <c r="A1672" i="11"/>
  <c r="A1673" i="11"/>
  <c r="A1674" i="11"/>
  <c r="A1675" i="11"/>
  <c r="A1676" i="11"/>
  <c r="A1677" i="11"/>
  <c r="A1678" i="11"/>
  <c r="A1679" i="11"/>
  <c r="A1680" i="11"/>
  <c r="A1681" i="11"/>
  <c r="A1682" i="11"/>
  <c r="A1683" i="11"/>
  <c r="A1684" i="11"/>
  <c r="A1685" i="11"/>
  <c r="A1686" i="11"/>
  <c r="A1687" i="11"/>
  <c r="A1688" i="11"/>
  <c r="A1689" i="11"/>
  <c r="A1690" i="11"/>
  <c r="A1691" i="11"/>
  <c r="A1692" i="11"/>
  <c r="A1693" i="11"/>
  <c r="A1694" i="11"/>
  <c r="A1695" i="11"/>
  <c r="A1696" i="11"/>
  <c r="A1697" i="11"/>
  <c r="A1698" i="11"/>
  <c r="A1699" i="11"/>
  <c r="A1700" i="11"/>
  <c r="A1701" i="11"/>
  <c r="A1702" i="11"/>
  <c r="A1703" i="11"/>
  <c r="A1704" i="11"/>
  <c r="A1705" i="11"/>
  <c r="A1706" i="11"/>
  <c r="A1707" i="11"/>
  <c r="A1708" i="11"/>
  <c r="A1709" i="11"/>
  <c r="A1710" i="11"/>
  <c r="A1711" i="11"/>
  <c r="A1712" i="11"/>
  <c r="A1713" i="11"/>
  <c r="A1714" i="11"/>
  <c r="A1715" i="11"/>
  <c r="A1716" i="11"/>
  <c r="A1717" i="11"/>
  <c r="A1718" i="11"/>
  <c r="A1719" i="11"/>
  <c r="A1720" i="11"/>
  <c r="A1721" i="11"/>
  <c r="A1722" i="11"/>
  <c r="A1723" i="11"/>
  <c r="A1724" i="11"/>
  <c r="A1725" i="11"/>
  <c r="A1726" i="11"/>
  <c r="A1727" i="11"/>
  <c r="A1728" i="11"/>
  <c r="A1729" i="11"/>
  <c r="A1730" i="11"/>
  <c r="A1731" i="11"/>
  <c r="A1732" i="11"/>
  <c r="A1733" i="11"/>
  <c r="A1734" i="11"/>
  <c r="A1735" i="11"/>
  <c r="A1736" i="11"/>
  <c r="A1737" i="11"/>
  <c r="A1738" i="11"/>
  <c r="A1739" i="11"/>
  <c r="A1740" i="11"/>
  <c r="A1741" i="11"/>
  <c r="A1742" i="11"/>
  <c r="A1743" i="11"/>
  <c r="A1744" i="11"/>
  <c r="A1745" i="11"/>
  <c r="A1746" i="11"/>
  <c r="A1747" i="11"/>
  <c r="A1748" i="11"/>
  <c r="A1749" i="11"/>
  <c r="A1750" i="11"/>
  <c r="A1751" i="11"/>
  <c r="A1752" i="11"/>
  <c r="A1753" i="11"/>
  <c r="A1754" i="11"/>
  <c r="A1755" i="11"/>
  <c r="A1756" i="11"/>
  <c r="A1757" i="11"/>
  <c r="A1758" i="11"/>
  <c r="A1759" i="11"/>
  <c r="A1760" i="11"/>
  <c r="A1761" i="11"/>
  <c r="A1762" i="11"/>
  <c r="A1763" i="11"/>
  <c r="A1764" i="11"/>
  <c r="A1765" i="11"/>
  <c r="A1766" i="11"/>
  <c r="A1767" i="11"/>
  <c r="A1768" i="11"/>
  <c r="A1769" i="11"/>
  <c r="A1770" i="11"/>
  <c r="A1771" i="11"/>
  <c r="A1772" i="11"/>
  <c r="A1773" i="11"/>
  <c r="A1774" i="11"/>
  <c r="A1775" i="11"/>
  <c r="A1776" i="11"/>
  <c r="A1777" i="11"/>
  <c r="A1778" i="11"/>
  <c r="A1779" i="11"/>
  <c r="A1780" i="11"/>
  <c r="A1781" i="11"/>
  <c r="A1782" i="11"/>
  <c r="A1783" i="11"/>
  <c r="A1784" i="11"/>
  <c r="A1785" i="11"/>
  <c r="A1786" i="11"/>
  <c r="A1787" i="11"/>
  <c r="A1788" i="11"/>
  <c r="A1789" i="11"/>
  <c r="A1790" i="11"/>
  <c r="A1791" i="11"/>
  <c r="A1792" i="11"/>
  <c r="A1793" i="11"/>
  <c r="A1794" i="11"/>
  <c r="A1795" i="11"/>
  <c r="A1796" i="11"/>
  <c r="A1797" i="11"/>
  <c r="A1798" i="11"/>
  <c r="A1799" i="11"/>
  <c r="A1800" i="11"/>
  <c r="A1801" i="11"/>
  <c r="A1802" i="11"/>
  <c r="A1803" i="11"/>
  <c r="A1804" i="11"/>
  <c r="A1805" i="11"/>
  <c r="A1806" i="11"/>
  <c r="A1807" i="11"/>
  <c r="A1808" i="11"/>
  <c r="A1809" i="11"/>
  <c r="A1810" i="11"/>
  <c r="A1811" i="11"/>
  <c r="A1812" i="11"/>
  <c r="A1813" i="11"/>
  <c r="A1814" i="11"/>
  <c r="A1815" i="11"/>
  <c r="A1816" i="11"/>
  <c r="A1817" i="11"/>
  <c r="A1818" i="11"/>
  <c r="A1819" i="11"/>
  <c r="A1820" i="11"/>
  <c r="A1821" i="11"/>
  <c r="A1822" i="11"/>
  <c r="A1823" i="11"/>
  <c r="A1824" i="11"/>
  <c r="A1825" i="11"/>
  <c r="A1826" i="11"/>
  <c r="A1827" i="11"/>
  <c r="A1828" i="11"/>
  <c r="A1829" i="11"/>
  <c r="A1830" i="11"/>
  <c r="A1831" i="11"/>
  <c r="A1832" i="11"/>
  <c r="A1833" i="11"/>
  <c r="A1834" i="11"/>
  <c r="A1835" i="11"/>
  <c r="A1836" i="11"/>
  <c r="A1837" i="11"/>
  <c r="A1838" i="11"/>
  <c r="A1839" i="11"/>
  <c r="A1840" i="11"/>
  <c r="A1841" i="11"/>
  <c r="A1842" i="11"/>
  <c r="A1843" i="11"/>
  <c r="A1844" i="11"/>
  <c r="A1845" i="11"/>
  <c r="A1846" i="11"/>
  <c r="A1847" i="11"/>
  <c r="A1848" i="11"/>
  <c r="A1849" i="11"/>
  <c r="A1850" i="11"/>
  <c r="A1851" i="11"/>
  <c r="A1852" i="11"/>
  <c r="A1853" i="11"/>
  <c r="A1854" i="11"/>
  <c r="A1855" i="11"/>
  <c r="A1856" i="11"/>
  <c r="A1857" i="11"/>
  <c r="A1858" i="11"/>
  <c r="A1859" i="11"/>
  <c r="A1860" i="11"/>
  <c r="A1861" i="11"/>
  <c r="A1862" i="11"/>
  <c r="A1863" i="11"/>
  <c r="A1864" i="11"/>
  <c r="A1865" i="11"/>
  <c r="A1866" i="11"/>
  <c r="A1867" i="11"/>
  <c r="A1868" i="11"/>
  <c r="A1869" i="11"/>
  <c r="A1870" i="11"/>
  <c r="A1871" i="11"/>
  <c r="A1872" i="11"/>
  <c r="A1873" i="11"/>
  <c r="A1874" i="11"/>
  <c r="A1875" i="11"/>
  <c r="A1876" i="11"/>
  <c r="A1877" i="11"/>
  <c r="A1878" i="11"/>
  <c r="A1879" i="11"/>
  <c r="A1880" i="11"/>
  <c r="A1881" i="11"/>
  <c r="A1882" i="11"/>
  <c r="A1883" i="11"/>
  <c r="A1884" i="11"/>
  <c r="A1885" i="11"/>
  <c r="A1886" i="11"/>
  <c r="A1887" i="11"/>
  <c r="A1888" i="11"/>
  <c r="A1889" i="11"/>
  <c r="A1890" i="11"/>
  <c r="A1891" i="11"/>
  <c r="A1892" i="11"/>
  <c r="A1893" i="11"/>
  <c r="A1894" i="11"/>
  <c r="A1895" i="11"/>
  <c r="A1896" i="11"/>
  <c r="A1897" i="11"/>
  <c r="A1898" i="11"/>
  <c r="A1899" i="11"/>
  <c r="A1900" i="11"/>
  <c r="A1901" i="11"/>
  <c r="A1902" i="11"/>
  <c r="A1903" i="11"/>
  <c r="A1904" i="11"/>
  <c r="A1905" i="11"/>
  <c r="A1906" i="11"/>
  <c r="A1907" i="11"/>
  <c r="A1908" i="11"/>
  <c r="A1909" i="11"/>
  <c r="A1910" i="11"/>
  <c r="A1911" i="11"/>
  <c r="A1912" i="11"/>
  <c r="A1913" i="11"/>
  <c r="A1914" i="11"/>
  <c r="A1915" i="11"/>
  <c r="A1916" i="11"/>
  <c r="A1917" i="11"/>
  <c r="A1918" i="11"/>
  <c r="A1919" i="11"/>
  <c r="A1920" i="11"/>
  <c r="A1921" i="11"/>
  <c r="A1922" i="11"/>
  <c r="A1923" i="11"/>
  <c r="A1924" i="11"/>
  <c r="A1925" i="11"/>
  <c r="A1926" i="11"/>
  <c r="A1927" i="11"/>
  <c r="A1928" i="11"/>
  <c r="A1929" i="11"/>
  <c r="A1930" i="11"/>
  <c r="A1931" i="11"/>
  <c r="A1932" i="11"/>
  <c r="A1933" i="11"/>
  <c r="A1934" i="11"/>
  <c r="A1935" i="11"/>
  <c r="A1936" i="11"/>
  <c r="A1937" i="11"/>
  <c r="A1938" i="11"/>
  <c r="A1939" i="11"/>
  <c r="A1940" i="11"/>
  <c r="A1941" i="11"/>
  <c r="A1942" i="11"/>
  <c r="A1943" i="11"/>
  <c r="A1944" i="11"/>
  <c r="A1945" i="11"/>
  <c r="A1946" i="11"/>
  <c r="A1947" i="11"/>
  <c r="A1948" i="11"/>
  <c r="A1949" i="11"/>
  <c r="A1950" i="11"/>
  <c r="A1951" i="11"/>
  <c r="A1952" i="11"/>
  <c r="A1953" i="11"/>
  <c r="A1954" i="11"/>
  <c r="A1955" i="11"/>
  <c r="A1956" i="11"/>
  <c r="A1957" i="11"/>
  <c r="A1958" i="11"/>
  <c r="A1959" i="11"/>
  <c r="A1960" i="11"/>
  <c r="A1961" i="11"/>
  <c r="A1962" i="11"/>
  <c r="A1963" i="11"/>
  <c r="A1964" i="11"/>
  <c r="A1965" i="11"/>
  <c r="A1966" i="11"/>
  <c r="A1967" i="11"/>
  <c r="A1968" i="11"/>
  <c r="A1969" i="11"/>
  <c r="A1970" i="11"/>
  <c r="A1971" i="11"/>
  <c r="A1972" i="11"/>
  <c r="A1973" i="11"/>
  <c r="A1974" i="11"/>
  <c r="A1975" i="11"/>
  <c r="A1976" i="11"/>
  <c r="A1977" i="11"/>
  <c r="A1978" i="11"/>
  <c r="A1979" i="11"/>
  <c r="A1980" i="11"/>
  <c r="A1981" i="11"/>
  <c r="A1982" i="11"/>
  <c r="A1983" i="11"/>
  <c r="A1984" i="11"/>
  <c r="A1985" i="11"/>
  <c r="A1986" i="11"/>
  <c r="A1987" i="11"/>
  <c r="A1988" i="11"/>
  <c r="A1989" i="11"/>
  <c r="A1990" i="11"/>
  <c r="A1991" i="11"/>
  <c r="A1992" i="11"/>
  <c r="A1993" i="11"/>
  <c r="A1994" i="11"/>
  <c r="A1995" i="11"/>
  <c r="A1996" i="11"/>
  <c r="A1997" i="11"/>
  <c r="A1998" i="11"/>
  <c r="A1999" i="11"/>
  <c r="A2000" i="11"/>
  <c r="A2001" i="11"/>
  <c r="A2002" i="11"/>
  <c r="A2003" i="11"/>
  <c r="A2004" i="11"/>
  <c r="A2005" i="11"/>
  <c r="A2006" i="11"/>
  <c r="A2007" i="11"/>
  <c r="A2008" i="11"/>
  <c r="A2009" i="11"/>
  <c r="A2010" i="11"/>
  <c r="A2011" i="11"/>
  <c r="A2012" i="11"/>
  <c r="A2013" i="11"/>
  <c r="A2014" i="11"/>
  <c r="A2015" i="11"/>
  <c r="A2016" i="11"/>
  <c r="A2017" i="11"/>
  <c r="A2018" i="11"/>
  <c r="A2019" i="11"/>
  <c r="A2020" i="11"/>
  <c r="A2021" i="11"/>
  <c r="A2022" i="11"/>
  <c r="A2023" i="11"/>
  <c r="A2024" i="11"/>
  <c r="A2025" i="11"/>
  <c r="A2026" i="11"/>
  <c r="A2027" i="11"/>
  <c r="A2028" i="11"/>
  <c r="A2029" i="11"/>
  <c r="A2030" i="11"/>
  <c r="A2031" i="11"/>
  <c r="A2032" i="11"/>
  <c r="A2033" i="11"/>
  <c r="A2034" i="11"/>
  <c r="A2035" i="11"/>
  <c r="A2036" i="11"/>
  <c r="A2037" i="11"/>
  <c r="A2038" i="11"/>
  <c r="A2039" i="11"/>
  <c r="A2040" i="11"/>
  <c r="A2041" i="11"/>
  <c r="A2042" i="11"/>
  <c r="A2043" i="11"/>
  <c r="A2044" i="11"/>
  <c r="A2045" i="11"/>
  <c r="A2046" i="11"/>
  <c r="A2047" i="11"/>
  <c r="A2048" i="11"/>
  <c r="A2049" i="11"/>
  <c r="A2050" i="11"/>
  <c r="A2051" i="11"/>
  <c r="A2052" i="11"/>
  <c r="A2053" i="11"/>
  <c r="A2054" i="11"/>
  <c r="A2055" i="11"/>
  <c r="A2056" i="11"/>
  <c r="A2057" i="11"/>
  <c r="A2058" i="11"/>
  <c r="A2059" i="11"/>
  <c r="A2060" i="11"/>
  <c r="A2061" i="11"/>
  <c r="A2062" i="11"/>
  <c r="A2063" i="11"/>
  <c r="A2064" i="11"/>
  <c r="A2065" i="11"/>
  <c r="A2066" i="11"/>
  <c r="A2067" i="11"/>
  <c r="A2068" i="11"/>
  <c r="A2069" i="11"/>
  <c r="A2070" i="11"/>
  <c r="A2071" i="11"/>
  <c r="A2072" i="11"/>
  <c r="A2073" i="11"/>
  <c r="A2074" i="11"/>
  <c r="A2075" i="11"/>
  <c r="A2076" i="11"/>
  <c r="A2077" i="11"/>
  <c r="A2078" i="11"/>
  <c r="A2079" i="11"/>
  <c r="A2080" i="11"/>
  <c r="A2081" i="11"/>
  <c r="A2082" i="11"/>
  <c r="A2083" i="11"/>
  <c r="A2084" i="11"/>
  <c r="A2085" i="11"/>
  <c r="A2086" i="11"/>
  <c r="A2087" i="11"/>
  <c r="A2088" i="11"/>
  <c r="A2089" i="11"/>
  <c r="A2090" i="11"/>
  <c r="A2091" i="11"/>
  <c r="A2092" i="11"/>
  <c r="A2093" i="11"/>
  <c r="A2094" i="11"/>
  <c r="A2095" i="11"/>
  <c r="A2096" i="11"/>
  <c r="A2097" i="11"/>
  <c r="A2098" i="11"/>
  <c r="A2099" i="11"/>
  <c r="A2100" i="11"/>
  <c r="A2101" i="11"/>
  <c r="A2102" i="11"/>
  <c r="A2103" i="11"/>
  <c r="A2104" i="11"/>
  <c r="A2105" i="11"/>
  <c r="A2106" i="11"/>
  <c r="A2107" i="11"/>
  <c r="A2108" i="11"/>
  <c r="A2109" i="11"/>
  <c r="A2110" i="11"/>
  <c r="A2111" i="11"/>
  <c r="A2112" i="11"/>
  <c r="A2113" i="11"/>
  <c r="A2114" i="11"/>
  <c r="A2115" i="11"/>
  <c r="A2116" i="11"/>
  <c r="A2117" i="11"/>
  <c r="A2118" i="11"/>
  <c r="A2119" i="11"/>
  <c r="A2120" i="11"/>
  <c r="A2121" i="11"/>
  <c r="A2122" i="11"/>
  <c r="A2123" i="11"/>
  <c r="A2124" i="11"/>
  <c r="A2125" i="11"/>
  <c r="A2126" i="11"/>
  <c r="A2127" i="11"/>
  <c r="A2128" i="11"/>
  <c r="A2129" i="11"/>
  <c r="A2130" i="11"/>
  <c r="A2131" i="11"/>
  <c r="A2132" i="11"/>
  <c r="A2133" i="11"/>
  <c r="A2134" i="11"/>
  <c r="A2135" i="11"/>
  <c r="A2136" i="11"/>
  <c r="A2137" i="11"/>
  <c r="A2138" i="11"/>
  <c r="A2139" i="11"/>
  <c r="A2140" i="11"/>
  <c r="A2141" i="11"/>
  <c r="A2142" i="11"/>
  <c r="A2143" i="11"/>
  <c r="A2144" i="11"/>
  <c r="A2145" i="11"/>
  <c r="A2146" i="11"/>
  <c r="A2147" i="11"/>
  <c r="A2148" i="11"/>
  <c r="A2149" i="11"/>
  <c r="A2150" i="11"/>
  <c r="A2151" i="11"/>
  <c r="A2152" i="11"/>
  <c r="A2153" i="11"/>
  <c r="A2154" i="11"/>
  <c r="A2155" i="11"/>
  <c r="A2156" i="11"/>
  <c r="A2157" i="11"/>
  <c r="A2158" i="11"/>
  <c r="A2159" i="11"/>
  <c r="A2160" i="11"/>
  <c r="A2161" i="11"/>
  <c r="A2162" i="11"/>
  <c r="A2163" i="11"/>
  <c r="A2164" i="11"/>
  <c r="A2165" i="11"/>
  <c r="A2166" i="11"/>
  <c r="A2167" i="11"/>
  <c r="A2168" i="11"/>
  <c r="A2169" i="11"/>
  <c r="A2170" i="11"/>
  <c r="A2171" i="11"/>
  <c r="A2172" i="11"/>
  <c r="A2173" i="11"/>
  <c r="A2174" i="11"/>
  <c r="A2175" i="11"/>
  <c r="A2176" i="11"/>
  <c r="A2177" i="11"/>
  <c r="A2178" i="11"/>
  <c r="A2179" i="11"/>
  <c r="A2180" i="11"/>
  <c r="A2181" i="11"/>
  <c r="A2182" i="11"/>
  <c r="A2183" i="11"/>
  <c r="A2184" i="11"/>
  <c r="A2185" i="11"/>
  <c r="A2186" i="11"/>
  <c r="A2187" i="11"/>
  <c r="A2188" i="11"/>
  <c r="A2189" i="11"/>
  <c r="A2190" i="11"/>
  <c r="A2191" i="11"/>
  <c r="A2192" i="11"/>
  <c r="A2193" i="11"/>
  <c r="A2194" i="11"/>
  <c r="A2195" i="11"/>
  <c r="A2196" i="11"/>
  <c r="A2197" i="11"/>
  <c r="A2198" i="11"/>
  <c r="A2199" i="11"/>
  <c r="A2200" i="11"/>
  <c r="A2201" i="11"/>
  <c r="A2202" i="11"/>
  <c r="A2203" i="11"/>
  <c r="A2204" i="11"/>
  <c r="A2205" i="11"/>
  <c r="A2206" i="11"/>
  <c r="A2207" i="11"/>
  <c r="A2208" i="11"/>
  <c r="A2209" i="11"/>
  <c r="A2210" i="11"/>
  <c r="A2211" i="11"/>
  <c r="A2212" i="11"/>
  <c r="A2213" i="11"/>
  <c r="A2214" i="11"/>
  <c r="A2215" i="11"/>
  <c r="A2216" i="11"/>
  <c r="A2217" i="11"/>
  <c r="A2218" i="11"/>
  <c r="A2219" i="11"/>
  <c r="A2220" i="11"/>
  <c r="A2221" i="11"/>
  <c r="A2222" i="11"/>
  <c r="A2223" i="11"/>
  <c r="A2224" i="11"/>
  <c r="A2225" i="11"/>
  <c r="A2226" i="11"/>
  <c r="A2227" i="11"/>
  <c r="A2228" i="11"/>
  <c r="A2229" i="11"/>
  <c r="A2230" i="11"/>
  <c r="A2231" i="11"/>
  <c r="A2232" i="11"/>
  <c r="A2233" i="11"/>
  <c r="A2234" i="11"/>
  <c r="A2235" i="11"/>
  <c r="A2236" i="11"/>
  <c r="A2237" i="11"/>
  <c r="A2238" i="11"/>
  <c r="A2239" i="11"/>
  <c r="A2240" i="11"/>
  <c r="A2241" i="11"/>
  <c r="A2242" i="11"/>
  <c r="A2243" i="11"/>
  <c r="A2244" i="11"/>
  <c r="A2245" i="11"/>
  <c r="A2246" i="11"/>
  <c r="A2247" i="11"/>
  <c r="A2248" i="11"/>
  <c r="A2249" i="11"/>
  <c r="A2250" i="11"/>
  <c r="A2251" i="11"/>
  <c r="A2252" i="11"/>
  <c r="A2253" i="11"/>
  <c r="A2254" i="11"/>
  <c r="A2255" i="11"/>
  <c r="A2256" i="11"/>
  <c r="A2257" i="11"/>
  <c r="A2258" i="11"/>
  <c r="A2259" i="11"/>
  <c r="A2260" i="11"/>
  <c r="A2261" i="11"/>
  <c r="A2262" i="11"/>
  <c r="A2263" i="11"/>
  <c r="A2264" i="11"/>
  <c r="A2265" i="11"/>
  <c r="A2266" i="11"/>
  <c r="A2267" i="11"/>
  <c r="A2268" i="11"/>
  <c r="A2269" i="11"/>
  <c r="A2270" i="11"/>
  <c r="A2271" i="11"/>
  <c r="A2272" i="11"/>
  <c r="A2273" i="11"/>
  <c r="A2274" i="11"/>
  <c r="A2275" i="11"/>
  <c r="A2276" i="11"/>
  <c r="A2277" i="11"/>
  <c r="A2278" i="11"/>
  <c r="A2279" i="11"/>
  <c r="A2280" i="11"/>
  <c r="A2281" i="11"/>
  <c r="A2282" i="11"/>
  <c r="A2283" i="11"/>
  <c r="A2284" i="11"/>
  <c r="A2285" i="11"/>
  <c r="A2286" i="11"/>
  <c r="A2287" i="11"/>
  <c r="A2288" i="11"/>
  <c r="A2289" i="11"/>
  <c r="A2290" i="11"/>
  <c r="A2291" i="11"/>
  <c r="A2292" i="11"/>
  <c r="A2293" i="11"/>
  <c r="A2294" i="11"/>
  <c r="A2295" i="11"/>
  <c r="A2296" i="11"/>
  <c r="A2297" i="11"/>
  <c r="A2298" i="11"/>
  <c r="A2299" i="11"/>
  <c r="A2300" i="11"/>
  <c r="A2301" i="11"/>
  <c r="A2302" i="11"/>
  <c r="A2303" i="11"/>
  <c r="A2304" i="11"/>
  <c r="A2305" i="11"/>
  <c r="A2306" i="11"/>
  <c r="A2307" i="11"/>
  <c r="A2308" i="11"/>
  <c r="A2309" i="11"/>
  <c r="A2310" i="11"/>
  <c r="A2311" i="11"/>
  <c r="A2312" i="11"/>
  <c r="A2313" i="11"/>
  <c r="A2314" i="11"/>
  <c r="A2315" i="11"/>
  <c r="A2316" i="11"/>
  <c r="A2317" i="11"/>
  <c r="A2318" i="11"/>
  <c r="A2319" i="11"/>
  <c r="A2320" i="11"/>
  <c r="A2321" i="11"/>
  <c r="A2322" i="11"/>
  <c r="A2323" i="11"/>
  <c r="A2324" i="11"/>
  <c r="A2325" i="11"/>
  <c r="A2326" i="11"/>
  <c r="A2327" i="11"/>
  <c r="A2328" i="11"/>
  <c r="A2329" i="11"/>
  <c r="A2330" i="11"/>
  <c r="A2331" i="11"/>
  <c r="A2332" i="11"/>
  <c r="A2333" i="11"/>
  <c r="A2334" i="11"/>
  <c r="A2335" i="11"/>
  <c r="A2336" i="11"/>
  <c r="A2337" i="11"/>
  <c r="A2338" i="11"/>
  <c r="A2339" i="11"/>
  <c r="A2340" i="11"/>
  <c r="A2341" i="11"/>
  <c r="A2342" i="11"/>
  <c r="A2343" i="11"/>
  <c r="A2344" i="11"/>
  <c r="A2345" i="11"/>
  <c r="A2346" i="11"/>
  <c r="A2347" i="11"/>
  <c r="A2348" i="11"/>
  <c r="A2349" i="11"/>
  <c r="A2350" i="11"/>
  <c r="A2351" i="11"/>
  <c r="A2352" i="11"/>
  <c r="A2353" i="11"/>
  <c r="A2354" i="11"/>
  <c r="A2355" i="11"/>
  <c r="A2356" i="11"/>
  <c r="A2357" i="11"/>
  <c r="A2358" i="11"/>
  <c r="A2359" i="11"/>
  <c r="A2360" i="11"/>
  <c r="A2361" i="11"/>
  <c r="A2362" i="11"/>
  <c r="A2363" i="11"/>
  <c r="A2364" i="11"/>
  <c r="A2365" i="11"/>
  <c r="A2366" i="11"/>
  <c r="A2367" i="11"/>
  <c r="A2368" i="11"/>
  <c r="A2369" i="11"/>
  <c r="A2370" i="11"/>
  <c r="A2371" i="11"/>
  <c r="A2372" i="11"/>
  <c r="A2373" i="11"/>
  <c r="A2374" i="11"/>
  <c r="A2375" i="11"/>
  <c r="A2376" i="11"/>
  <c r="A2377" i="11"/>
  <c r="A2378" i="11"/>
  <c r="A2379" i="11"/>
  <c r="A2380" i="11"/>
  <c r="A2381" i="11"/>
  <c r="A2382" i="11"/>
  <c r="A2383" i="11"/>
  <c r="A2384" i="11"/>
  <c r="A2385" i="11"/>
  <c r="A2386" i="11"/>
  <c r="A2387" i="11"/>
  <c r="A2388" i="11"/>
  <c r="A2389" i="11"/>
  <c r="A2390" i="11"/>
  <c r="A2391" i="11"/>
  <c r="A2392" i="11"/>
  <c r="A2393" i="11"/>
  <c r="A2394" i="11"/>
  <c r="A2395" i="11"/>
  <c r="A2396" i="11"/>
  <c r="A2397" i="11"/>
  <c r="A2398" i="11"/>
  <c r="A2399" i="11"/>
  <c r="A2400" i="11"/>
  <c r="A2401" i="11"/>
  <c r="A2402" i="11"/>
  <c r="A2403" i="11"/>
  <c r="A2404" i="11"/>
  <c r="A2405" i="11"/>
  <c r="A2406" i="11"/>
  <c r="A2407" i="11"/>
  <c r="A2408" i="11"/>
  <c r="A2409" i="11"/>
  <c r="A2410" i="11"/>
  <c r="A2411" i="11"/>
  <c r="A2412" i="11"/>
  <c r="A2413" i="11"/>
  <c r="A2414" i="11"/>
  <c r="A2415" i="11"/>
  <c r="A2416" i="11"/>
  <c r="A2417" i="11"/>
  <c r="A2418" i="11"/>
  <c r="A2419" i="11"/>
  <c r="A2420" i="11"/>
  <c r="A2421" i="11"/>
  <c r="A2422" i="11"/>
  <c r="A2423" i="11"/>
  <c r="A2424" i="11"/>
  <c r="A2425" i="11"/>
  <c r="A2426" i="11"/>
  <c r="A2427" i="11"/>
  <c r="A2428" i="11"/>
  <c r="A2429" i="11"/>
  <c r="A2430" i="11"/>
  <c r="A2431" i="11"/>
  <c r="A2432" i="11"/>
  <c r="A2433" i="11"/>
  <c r="A2434" i="11"/>
  <c r="A2435" i="11"/>
  <c r="A2436" i="11"/>
  <c r="A2437" i="11"/>
  <c r="A2438" i="11"/>
  <c r="A2439" i="11"/>
  <c r="A2440" i="11"/>
  <c r="A2441" i="11"/>
  <c r="A2442" i="11"/>
  <c r="A2443" i="11"/>
  <c r="A2444" i="11"/>
  <c r="A2445" i="11"/>
  <c r="A2446" i="11"/>
  <c r="A2447" i="11"/>
  <c r="A2448" i="11"/>
  <c r="A2449" i="11"/>
  <c r="A2450" i="11"/>
  <c r="A2451" i="11"/>
  <c r="A2452" i="11"/>
  <c r="A2453" i="11"/>
  <c r="A2454" i="11"/>
  <c r="A2455" i="11"/>
  <c r="A2456" i="11"/>
  <c r="A2457" i="11"/>
  <c r="A2458" i="11"/>
  <c r="A2459" i="11"/>
  <c r="A2460" i="11"/>
  <c r="A2461" i="11"/>
  <c r="A2462" i="11"/>
  <c r="A2463" i="11"/>
  <c r="A2464" i="11"/>
  <c r="A2465" i="11"/>
  <c r="A2466" i="11"/>
  <c r="A2467" i="11"/>
  <c r="A2468" i="11"/>
  <c r="A2469" i="11"/>
  <c r="A2470" i="11"/>
  <c r="A2471" i="11"/>
  <c r="A2472" i="11"/>
  <c r="A2473" i="11"/>
  <c r="A2474" i="11"/>
  <c r="A2475" i="11"/>
  <c r="A2476" i="11"/>
  <c r="A2477" i="11"/>
  <c r="A2478" i="11"/>
  <c r="A2479" i="11"/>
  <c r="A2480" i="11"/>
  <c r="A2481" i="11"/>
  <c r="A2482" i="11"/>
  <c r="A2483" i="11"/>
  <c r="A2484" i="11"/>
  <c r="A2485" i="11"/>
  <c r="A2486" i="11"/>
  <c r="A2487" i="11"/>
  <c r="A2488" i="11"/>
  <c r="A2489" i="11"/>
  <c r="A2490" i="11"/>
  <c r="A2491" i="11"/>
  <c r="A2492" i="11"/>
  <c r="A2493" i="11"/>
  <c r="A2494" i="11"/>
  <c r="A2495" i="11"/>
  <c r="A2496" i="11"/>
  <c r="A2497" i="11"/>
  <c r="A2498" i="11"/>
  <c r="A2499" i="11"/>
  <c r="A2500" i="11"/>
  <c r="A2501" i="11"/>
  <c r="A2502" i="11"/>
  <c r="A2503" i="11"/>
  <c r="A2504" i="11"/>
  <c r="A2505" i="11"/>
  <c r="A2506" i="11"/>
  <c r="A2507" i="11"/>
  <c r="A2508" i="11"/>
  <c r="A2509" i="11"/>
  <c r="A2510" i="11"/>
  <c r="A2511" i="11"/>
  <c r="A2512" i="11"/>
  <c r="A2513" i="11"/>
  <c r="A2514" i="11"/>
  <c r="A2515" i="11"/>
  <c r="A2516" i="11"/>
  <c r="A2517" i="11"/>
  <c r="A2518" i="11"/>
  <c r="A2519" i="11"/>
  <c r="A2520" i="11"/>
  <c r="A2521" i="11"/>
  <c r="A2522" i="11"/>
  <c r="A2523" i="11"/>
  <c r="A2524" i="11"/>
  <c r="A2525" i="11"/>
  <c r="A2526" i="11"/>
  <c r="A2527" i="11"/>
  <c r="A2528" i="11"/>
  <c r="A2529" i="11"/>
  <c r="A2530" i="11"/>
  <c r="A2531" i="11"/>
  <c r="A2532" i="11"/>
  <c r="A2533" i="11"/>
  <c r="A2534" i="11"/>
  <c r="A2535" i="11"/>
  <c r="A2536" i="11"/>
  <c r="A2537" i="11"/>
  <c r="A2538" i="11"/>
  <c r="A2539" i="11"/>
  <c r="A2540" i="11"/>
  <c r="A2541" i="11"/>
  <c r="A2542" i="11"/>
  <c r="A2543" i="11"/>
  <c r="A2544" i="11"/>
  <c r="A2545" i="11"/>
  <c r="A2546" i="11"/>
  <c r="A2547" i="11"/>
  <c r="A2548" i="11"/>
  <c r="A2549" i="11"/>
  <c r="A2550" i="11"/>
  <c r="A2551" i="11"/>
  <c r="A2552" i="11"/>
  <c r="A2553" i="11"/>
  <c r="A2554" i="11"/>
  <c r="A2555" i="11"/>
  <c r="A2556" i="11"/>
  <c r="A2557" i="11"/>
  <c r="A2558" i="11"/>
  <c r="A2559" i="11"/>
  <c r="A2560" i="11"/>
  <c r="A2561" i="11"/>
  <c r="A2562" i="11"/>
  <c r="A2563" i="11"/>
  <c r="A2564" i="11"/>
  <c r="A2565" i="11"/>
  <c r="A2566" i="11"/>
  <c r="A2567" i="11"/>
  <c r="A2568" i="11"/>
  <c r="A2569" i="11"/>
  <c r="A2570" i="11"/>
  <c r="A2571" i="11"/>
  <c r="A2572" i="11"/>
  <c r="A2573" i="11"/>
  <c r="A2574" i="11"/>
  <c r="A2575" i="11"/>
  <c r="A2576" i="11"/>
  <c r="A2577" i="11"/>
  <c r="A2578" i="11"/>
  <c r="A2579" i="11"/>
  <c r="A2580" i="11"/>
  <c r="A2581" i="11"/>
  <c r="A2582" i="11"/>
  <c r="A2583" i="11"/>
  <c r="A2584" i="11"/>
  <c r="A2585" i="11"/>
  <c r="A2586" i="11"/>
  <c r="A2587" i="11"/>
  <c r="A2588" i="11"/>
  <c r="A2589" i="11"/>
  <c r="A2590" i="11"/>
  <c r="A2591" i="11"/>
  <c r="A2592" i="11"/>
  <c r="A2593" i="11"/>
  <c r="A2594" i="11"/>
  <c r="A2595" i="11"/>
  <c r="A2596" i="11"/>
  <c r="J555" i="11"/>
  <c r="J556" i="11"/>
  <c r="J557" i="11"/>
  <c r="J558" i="11"/>
  <c r="J559" i="11"/>
  <c r="J560" i="11"/>
  <c r="J561" i="11"/>
  <c r="J562" i="11"/>
  <c r="J563" i="11"/>
  <c r="J564" i="11"/>
  <c r="J565" i="11"/>
  <c r="J566" i="11"/>
  <c r="J567" i="11"/>
  <c r="J568" i="11"/>
  <c r="J569" i="11"/>
  <c r="J570" i="11"/>
  <c r="J571" i="11"/>
  <c r="J572" i="11"/>
  <c r="J573" i="11"/>
  <c r="J574" i="11"/>
  <c r="J575" i="11"/>
  <c r="J576" i="11"/>
  <c r="J577" i="11"/>
  <c r="J578" i="11"/>
  <c r="J579" i="11"/>
  <c r="J580" i="11"/>
  <c r="J581" i="11"/>
  <c r="J582" i="11"/>
  <c r="J583" i="11"/>
  <c r="J554" i="11"/>
  <c r="Y11" i="30"/>
  <c r="X11" i="30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45" i="11"/>
  <c r="J546" i="11"/>
  <c r="J547" i="11"/>
  <c r="J548" i="11"/>
  <c r="J549" i="11"/>
  <c r="J550" i="11"/>
  <c r="J551" i="11"/>
  <c r="J552" i="11"/>
  <c r="J553" i="11"/>
  <c r="J523" i="11"/>
  <c r="X10" i="30"/>
  <c r="Y10" i="30"/>
  <c r="Z10" i="30"/>
  <c r="AA10" i="30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493" i="11"/>
  <c r="Y9" i="30"/>
  <c r="Z8" i="30"/>
  <c r="AA8" i="30"/>
  <c r="X9" i="30"/>
  <c r="Z9" i="30"/>
  <c r="AA9" i="30"/>
  <c r="I479" i="11"/>
  <c r="J479" i="11"/>
  <c r="C479" i="11"/>
  <c r="D479" i="11"/>
  <c r="F479" i="11"/>
  <c r="E479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6" i="11"/>
  <c r="J477" i="11"/>
  <c r="J478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62" i="11"/>
  <c r="L483" i="11"/>
  <c r="L482" i="11"/>
  <c r="L463" i="11"/>
  <c r="L464" i="11"/>
  <c r="L465" i="11"/>
  <c r="L466" i="11"/>
  <c r="L467" i="11"/>
  <c r="L468" i="11"/>
  <c r="L469" i="11"/>
  <c r="L470" i="11"/>
  <c r="L471" i="11"/>
  <c r="L472" i="11"/>
  <c r="L473" i="11"/>
  <c r="L474" i="11"/>
  <c r="L475" i="11"/>
  <c r="L476" i="11"/>
  <c r="L477" i="11"/>
  <c r="L478" i="11"/>
  <c r="L479" i="11"/>
  <c r="L480" i="11"/>
  <c r="L48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31" i="11"/>
  <c r="C460" i="11"/>
  <c r="D460" i="11"/>
  <c r="E460" i="11"/>
  <c r="F460" i="11"/>
  <c r="C461" i="11"/>
  <c r="D461" i="11"/>
  <c r="F461" i="11"/>
  <c r="E461" i="11"/>
  <c r="G461" i="11"/>
  <c r="K461" i="11"/>
  <c r="C462" i="11"/>
  <c r="D462" i="11"/>
  <c r="E462" i="11"/>
  <c r="F462" i="11"/>
  <c r="D458" i="11"/>
  <c r="E458" i="11"/>
  <c r="F458" i="11"/>
  <c r="G458" i="11"/>
  <c r="C459" i="11"/>
  <c r="D459" i="11"/>
  <c r="E459" i="11"/>
  <c r="F459" i="11"/>
  <c r="G459" i="11"/>
  <c r="K459" i="11"/>
  <c r="C463" i="11"/>
  <c r="D463" i="11"/>
  <c r="F463" i="11"/>
  <c r="E463" i="11"/>
  <c r="C464" i="11"/>
  <c r="D464" i="11"/>
  <c r="E464" i="11"/>
  <c r="F464" i="11"/>
  <c r="G464" i="11"/>
  <c r="K464" i="11"/>
  <c r="C465" i="11"/>
  <c r="D465" i="11"/>
  <c r="E465" i="11"/>
  <c r="F465" i="11"/>
  <c r="C466" i="11"/>
  <c r="D466" i="11"/>
  <c r="E466" i="11"/>
  <c r="F466" i="11"/>
  <c r="G466" i="11"/>
  <c r="K466" i="11"/>
  <c r="C467" i="11"/>
  <c r="D467" i="11"/>
  <c r="E467" i="11"/>
  <c r="F467" i="11"/>
  <c r="G467" i="11"/>
  <c r="K467" i="11"/>
  <c r="C468" i="11"/>
  <c r="D468" i="11"/>
  <c r="E468" i="11"/>
  <c r="F468" i="11"/>
  <c r="G468" i="11"/>
  <c r="K468" i="11"/>
  <c r="C469" i="11"/>
  <c r="D469" i="11"/>
  <c r="F469" i="11"/>
  <c r="E469" i="11"/>
  <c r="G469" i="11"/>
  <c r="K469" i="11"/>
  <c r="C470" i="11"/>
  <c r="D470" i="11"/>
  <c r="F470" i="11"/>
  <c r="E470" i="11"/>
  <c r="C471" i="11"/>
  <c r="D471" i="11"/>
  <c r="F471" i="11"/>
  <c r="E471" i="11"/>
  <c r="C472" i="11"/>
  <c r="D472" i="11"/>
  <c r="E472" i="11"/>
  <c r="F472" i="11"/>
  <c r="C473" i="11"/>
  <c r="D473" i="11"/>
  <c r="E473" i="11"/>
  <c r="F473" i="11"/>
  <c r="C474" i="11"/>
  <c r="D474" i="11"/>
  <c r="F474" i="11"/>
  <c r="E474" i="11"/>
  <c r="C475" i="11"/>
  <c r="D475" i="11"/>
  <c r="E475" i="11"/>
  <c r="F475" i="11"/>
  <c r="C476" i="11"/>
  <c r="D476" i="11"/>
  <c r="E476" i="11"/>
  <c r="F476" i="11"/>
  <c r="G476" i="11"/>
  <c r="K476" i="11"/>
  <c r="C477" i="11"/>
  <c r="D477" i="11"/>
  <c r="E477" i="11"/>
  <c r="F477" i="11"/>
  <c r="G477" i="11"/>
  <c r="K477" i="11"/>
  <c r="C478" i="11"/>
  <c r="D478" i="11"/>
  <c r="F478" i="11"/>
  <c r="E478" i="11"/>
  <c r="C480" i="11"/>
  <c r="D480" i="11"/>
  <c r="F480" i="11"/>
  <c r="E480" i="11"/>
  <c r="C481" i="11"/>
  <c r="D481" i="11"/>
  <c r="E481" i="11"/>
  <c r="F481" i="11"/>
  <c r="G481" i="11"/>
  <c r="K481" i="11"/>
  <c r="C482" i="11"/>
  <c r="D482" i="11"/>
  <c r="E482" i="11"/>
  <c r="F482" i="11"/>
  <c r="G482" i="11"/>
  <c r="K482" i="11"/>
  <c r="C483" i="11"/>
  <c r="D483" i="11"/>
  <c r="E483" i="11"/>
  <c r="F483" i="11"/>
  <c r="G483" i="11"/>
  <c r="K483" i="11"/>
  <c r="C484" i="11"/>
  <c r="D484" i="11"/>
  <c r="F484" i="11"/>
  <c r="E484" i="11"/>
  <c r="C485" i="11"/>
  <c r="D485" i="11"/>
  <c r="E485" i="11"/>
  <c r="F485" i="11"/>
  <c r="G485" i="11"/>
  <c r="K485" i="11"/>
  <c r="C486" i="11"/>
  <c r="D486" i="11"/>
  <c r="E486" i="11"/>
  <c r="F486" i="11"/>
  <c r="G486" i="11"/>
  <c r="K486" i="11"/>
  <c r="C487" i="11"/>
  <c r="D487" i="11"/>
  <c r="E487" i="11"/>
  <c r="F487" i="11"/>
  <c r="G487" i="11"/>
  <c r="C488" i="11"/>
  <c r="D488" i="11"/>
  <c r="F488" i="11"/>
  <c r="E488" i="11"/>
  <c r="C489" i="11"/>
  <c r="D489" i="11"/>
  <c r="E489" i="11"/>
  <c r="F489" i="11"/>
  <c r="G489" i="11"/>
  <c r="K489" i="11"/>
  <c r="C490" i="11"/>
  <c r="D490" i="11"/>
  <c r="E490" i="11"/>
  <c r="F490" i="11"/>
  <c r="G490" i="11"/>
  <c r="K490" i="11"/>
  <c r="C491" i="11"/>
  <c r="D491" i="11"/>
  <c r="F491" i="11"/>
  <c r="E491" i="11"/>
  <c r="G491" i="11"/>
  <c r="K491" i="11"/>
  <c r="C492" i="11"/>
  <c r="D492" i="11"/>
  <c r="E492" i="11"/>
  <c r="F492" i="11"/>
  <c r="G492" i="11"/>
  <c r="K492" i="11"/>
  <c r="C493" i="11"/>
  <c r="D493" i="11"/>
  <c r="F493" i="11"/>
  <c r="E493" i="11"/>
  <c r="C494" i="11"/>
  <c r="D494" i="11"/>
  <c r="F494" i="11"/>
  <c r="E494" i="11"/>
  <c r="C495" i="11"/>
  <c r="D495" i="11"/>
  <c r="E495" i="11"/>
  <c r="F495" i="11"/>
  <c r="C496" i="11"/>
  <c r="D496" i="11"/>
  <c r="E496" i="11"/>
  <c r="F496" i="11"/>
  <c r="C497" i="11"/>
  <c r="D497" i="11"/>
  <c r="E497" i="11"/>
  <c r="F497" i="11"/>
  <c r="G497" i="11"/>
  <c r="K497" i="11"/>
  <c r="C498" i="11"/>
  <c r="D498" i="11"/>
  <c r="E498" i="11"/>
  <c r="F498" i="11"/>
  <c r="C499" i="11"/>
  <c r="D499" i="11"/>
  <c r="F499" i="11"/>
  <c r="E499" i="11"/>
  <c r="C500" i="11"/>
  <c r="D500" i="11"/>
  <c r="E500" i="11"/>
  <c r="F500" i="11"/>
  <c r="C501" i="11"/>
  <c r="D501" i="11"/>
  <c r="E501" i="11"/>
  <c r="F501" i="11"/>
  <c r="C502" i="11"/>
  <c r="D502" i="11"/>
  <c r="E502" i="11"/>
  <c r="F502" i="11"/>
  <c r="G502" i="11"/>
  <c r="K502" i="11"/>
  <c r="C503" i="11"/>
  <c r="D503" i="11"/>
  <c r="E503" i="11"/>
  <c r="F503" i="11"/>
  <c r="G503" i="11"/>
  <c r="K503" i="11"/>
  <c r="C504" i="11"/>
  <c r="D504" i="11"/>
  <c r="E504" i="11"/>
  <c r="F504" i="11"/>
  <c r="G504" i="11"/>
  <c r="K504" i="11"/>
  <c r="C505" i="11"/>
  <c r="D505" i="11"/>
  <c r="F505" i="11"/>
  <c r="E505" i="11"/>
  <c r="C506" i="11"/>
  <c r="D506" i="11"/>
  <c r="F506" i="11"/>
  <c r="E506" i="11"/>
  <c r="G506" i="11"/>
  <c r="C507" i="11"/>
  <c r="D507" i="11"/>
  <c r="F507" i="11"/>
  <c r="E507" i="11"/>
  <c r="G507" i="11"/>
  <c r="K507" i="11"/>
  <c r="C508" i="11"/>
  <c r="D508" i="11"/>
  <c r="F508" i="11"/>
  <c r="E508" i="11"/>
  <c r="C509" i="11"/>
  <c r="D509" i="11"/>
  <c r="E509" i="11"/>
  <c r="F509" i="11"/>
  <c r="G509" i="11"/>
  <c r="K509" i="11"/>
  <c r="C510" i="11"/>
  <c r="D510" i="11"/>
  <c r="E510" i="11"/>
  <c r="F510" i="11"/>
  <c r="C511" i="11"/>
  <c r="D511" i="11"/>
  <c r="E511" i="11"/>
  <c r="F511" i="11"/>
  <c r="G511" i="11"/>
  <c r="K511" i="11"/>
  <c r="C512" i="11"/>
  <c r="D512" i="11"/>
  <c r="E512" i="11"/>
  <c r="F512" i="11"/>
  <c r="G512" i="11"/>
  <c r="K512" i="11"/>
  <c r="C513" i="11"/>
  <c r="D513" i="11"/>
  <c r="E513" i="11"/>
  <c r="F513" i="11"/>
  <c r="G513" i="11"/>
  <c r="K513" i="11"/>
  <c r="C514" i="11"/>
  <c r="D514" i="11"/>
  <c r="F514" i="11"/>
  <c r="E514" i="11"/>
  <c r="C515" i="11"/>
  <c r="D515" i="11"/>
  <c r="E515" i="11"/>
  <c r="F515" i="11"/>
  <c r="C516" i="11"/>
  <c r="D516" i="11"/>
  <c r="E516" i="11"/>
  <c r="F516" i="11"/>
  <c r="G516" i="11"/>
  <c r="K516" i="11"/>
  <c r="C517" i="11"/>
  <c r="D517" i="11"/>
  <c r="E517" i="11"/>
  <c r="F517" i="11"/>
  <c r="G517" i="11"/>
  <c r="K517" i="11"/>
  <c r="C518" i="11"/>
  <c r="D518" i="11"/>
  <c r="E518" i="11"/>
  <c r="F518" i="11"/>
  <c r="G518" i="11"/>
  <c r="K518" i="11"/>
  <c r="C519" i="11"/>
  <c r="D519" i="11"/>
  <c r="F519" i="11"/>
  <c r="E519" i="11"/>
  <c r="G519" i="11"/>
  <c r="K519" i="11"/>
  <c r="C520" i="11"/>
  <c r="D520" i="11"/>
  <c r="F520" i="11"/>
  <c r="E520" i="11"/>
  <c r="G520" i="11"/>
  <c r="K520" i="11"/>
  <c r="C521" i="11"/>
  <c r="D521" i="11"/>
  <c r="F521" i="11"/>
  <c r="E521" i="11"/>
  <c r="C522" i="11"/>
  <c r="D522" i="11"/>
  <c r="E522" i="11"/>
  <c r="F522" i="11"/>
  <c r="G522" i="11"/>
  <c r="C523" i="11"/>
  <c r="D523" i="11"/>
  <c r="E523" i="11"/>
  <c r="F523" i="11"/>
  <c r="C524" i="11"/>
  <c r="D524" i="11"/>
  <c r="F524" i="11"/>
  <c r="E524" i="11"/>
  <c r="G524" i="11"/>
  <c r="K524" i="11"/>
  <c r="C525" i="11"/>
  <c r="D525" i="11"/>
  <c r="F525" i="11"/>
  <c r="E525" i="11"/>
  <c r="G525" i="11"/>
  <c r="K525" i="11"/>
  <c r="C526" i="11"/>
  <c r="D526" i="11"/>
  <c r="E526" i="11"/>
  <c r="F526" i="11"/>
  <c r="C527" i="11"/>
  <c r="D527" i="11"/>
  <c r="F527" i="11"/>
  <c r="E527" i="11"/>
  <c r="C528" i="11"/>
  <c r="D528" i="11"/>
  <c r="E528" i="11"/>
  <c r="F528" i="11"/>
  <c r="G528" i="11"/>
  <c r="K528" i="11"/>
  <c r="C529" i="11"/>
  <c r="D529" i="11"/>
  <c r="F529" i="11"/>
  <c r="E529" i="11"/>
  <c r="C530" i="11"/>
  <c r="D530" i="11"/>
  <c r="E530" i="11"/>
  <c r="F530" i="11"/>
  <c r="C531" i="11"/>
  <c r="D531" i="11"/>
  <c r="E531" i="11"/>
  <c r="F531" i="11"/>
  <c r="C532" i="11"/>
  <c r="D532" i="11"/>
  <c r="E532" i="11"/>
  <c r="F532" i="11"/>
  <c r="C533" i="11"/>
  <c r="D533" i="11"/>
  <c r="E533" i="11"/>
  <c r="F533" i="11"/>
  <c r="C534" i="11"/>
  <c r="D534" i="11"/>
  <c r="E534" i="11"/>
  <c r="F534" i="11"/>
  <c r="C535" i="11"/>
  <c r="D535" i="11"/>
  <c r="E535" i="11"/>
  <c r="F535" i="11"/>
  <c r="C536" i="11"/>
  <c r="D536" i="11"/>
  <c r="E536" i="11"/>
  <c r="F536" i="11"/>
  <c r="C537" i="11"/>
  <c r="D537" i="11"/>
  <c r="E537" i="11"/>
  <c r="F537" i="11"/>
  <c r="C538" i="11"/>
  <c r="D538" i="11"/>
  <c r="E538" i="11"/>
  <c r="F538" i="11"/>
  <c r="C539" i="11"/>
  <c r="D539" i="11"/>
  <c r="E539" i="11"/>
  <c r="F539" i="11"/>
  <c r="C540" i="11"/>
  <c r="D540" i="11"/>
  <c r="E540" i="11"/>
  <c r="F540" i="11"/>
  <c r="C541" i="11"/>
  <c r="D541" i="11"/>
  <c r="E541" i="11"/>
  <c r="F541" i="11"/>
  <c r="C542" i="11"/>
  <c r="D542" i="11"/>
  <c r="E542" i="11"/>
  <c r="F542" i="11"/>
  <c r="C543" i="11"/>
  <c r="D543" i="11"/>
  <c r="E543" i="11"/>
  <c r="F543" i="11"/>
  <c r="C544" i="11"/>
  <c r="D544" i="11"/>
  <c r="E544" i="11"/>
  <c r="F544" i="11"/>
  <c r="C545" i="11"/>
  <c r="D545" i="11"/>
  <c r="F545" i="11"/>
  <c r="E545" i="11"/>
  <c r="C546" i="11"/>
  <c r="D546" i="11"/>
  <c r="E546" i="11"/>
  <c r="F546" i="11"/>
  <c r="C547" i="11"/>
  <c r="D547" i="11"/>
  <c r="E547" i="11"/>
  <c r="F547" i="11"/>
  <c r="C548" i="11"/>
  <c r="D548" i="11"/>
  <c r="E548" i="11"/>
  <c r="F548" i="11"/>
  <c r="C549" i="11"/>
  <c r="D549" i="11"/>
  <c r="E549" i="11"/>
  <c r="F549" i="11"/>
  <c r="C550" i="11"/>
  <c r="D550" i="11"/>
  <c r="F550" i="11"/>
  <c r="E550" i="11"/>
  <c r="C551" i="11"/>
  <c r="D551" i="11"/>
  <c r="E551" i="11"/>
  <c r="F551" i="11"/>
  <c r="C552" i="11"/>
  <c r="D552" i="11"/>
  <c r="E552" i="11"/>
  <c r="F552" i="11"/>
  <c r="C553" i="11"/>
  <c r="D553" i="11"/>
  <c r="F553" i="11"/>
  <c r="E553" i="11"/>
  <c r="C554" i="11"/>
  <c r="D554" i="11"/>
  <c r="F554" i="11"/>
  <c r="E554" i="11"/>
  <c r="G554" i="11"/>
  <c r="K554" i="11"/>
  <c r="C555" i="11"/>
  <c r="D555" i="11"/>
  <c r="E555" i="11"/>
  <c r="F555" i="11"/>
  <c r="C556" i="11"/>
  <c r="D556" i="11"/>
  <c r="E556" i="11"/>
  <c r="F556" i="11"/>
  <c r="G556" i="11"/>
  <c r="K556" i="11"/>
  <c r="C557" i="11"/>
  <c r="D557" i="11"/>
  <c r="E557" i="11"/>
  <c r="F557" i="11"/>
  <c r="G557" i="11"/>
  <c r="K557" i="11"/>
  <c r="C558" i="11"/>
  <c r="D558" i="11"/>
  <c r="E558" i="11"/>
  <c r="F558" i="11"/>
  <c r="C559" i="11"/>
  <c r="D559" i="11"/>
  <c r="F559" i="11"/>
  <c r="E559" i="11"/>
  <c r="C560" i="11"/>
  <c r="D560" i="11"/>
  <c r="E560" i="11"/>
  <c r="F560" i="11"/>
  <c r="G560" i="11"/>
  <c r="K560" i="11"/>
  <c r="C561" i="11"/>
  <c r="D561" i="11"/>
  <c r="E561" i="11"/>
  <c r="F561" i="11"/>
  <c r="C562" i="11"/>
  <c r="D562" i="11"/>
  <c r="F562" i="11"/>
  <c r="E562" i="11"/>
  <c r="G562" i="11"/>
  <c r="K562" i="11"/>
  <c r="C563" i="11"/>
  <c r="D563" i="11"/>
  <c r="E563" i="11"/>
  <c r="F563" i="11"/>
  <c r="G563" i="11"/>
  <c r="K563" i="11"/>
  <c r="C564" i="11"/>
  <c r="D564" i="11"/>
  <c r="F564" i="11"/>
  <c r="E564" i="11"/>
  <c r="C565" i="11"/>
  <c r="D565" i="11"/>
  <c r="F565" i="11"/>
  <c r="E565" i="11"/>
  <c r="C566" i="11"/>
  <c r="D566" i="11"/>
  <c r="E566" i="11"/>
  <c r="F566" i="11"/>
  <c r="C567" i="11"/>
  <c r="D567" i="11"/>
  <c r="E567" i="11"/>
  <c r="F567" i="11"/>
  <c r="C568" i="11"/>
  <c r="D568" i="11"/>
  <c r="E568" i="11"/>
  <c r="F568" i="11"/>
  <c r="C569" i="11"/>
  <c r="D569" i="11"/>
  <c r="E569" i="11"/>
  <c r="F569" i="11"/>
  <c r="C570" i="11"/>
  <c r="D570" i="11"/>
  <c r="F570" i="11"/>
  <c r="E570" i="11"/>
  <c r="C571" i="11"/>
  <c r="D571" i="11"/>
  <c r="E571" i="11"/>
  <c r="F571" i="11"/>
  <c r="C572" i="11"/>
  <c r="D572" i="11"/>
  <c r="F572" i="11"/>
  <c r="E572" i="11"/>
  <c r="C573" i="11"/>
  <c r="D573" i="11"/>
  <c r="E573" i="11"/>
  <c r="F573" i="11"/>
  <c r="G573" i="11"/>
  <c r="K573" i="11"/>
  <c r="C574" i="11"/>
  <c r="D574" i="11"/>
  <c r="F574" i="11"/>
  <c r="E574" i="11"/>
  <c r="C575" i="11"/>
  <c r="D575" i="11"/>
  <c r="E575" i="11"/>
  <c r="F575" i="11"/>
  <c r="C576" i="11"/>
  <c r="D576" i="11"/>
  <c r="F576" i="11"/>
  <c r="E576" i="11"/>
  <c r="C577" i="11"/>
  <c r="D577" i="11"/>
  <c r="E577" i="11"/>
  <c r="F577" i="11"/>
  <c r="C578" i="11"/>
  <c r="D578" i="11"/>
  <c r="E578" i="11"/>
  <c r="F578" i="11"/>
  <c r="C579" i="11"/>
  <c r="D579" i="11"/>
  <c r="E579" i="11"/>
  <c r="F579" i="11"/>
  <c r="C580" i="11"/>
  <c r="D580" i="11"/>
  <c r="F580" i="11"/>
  <c r="E580" i="11"/>
  <c r="C581" i="11"/>
  <c r="D581" i="11"/>
  <c r="E581" i="11"/>
  <c r="F581" i="11"/>
  <c r="G581" i="11"/>
  <c r="K581" i="11"/>
  <c r="C582" i="11"/>
  <c r="D582" i="11"/>
  <c r="E582" i="11"/>
  <c r="F582" i="11"/>
  <c r="C583" i="11"/>
  <c r="D583" i="11"/>
  <c r="F583" i="11"/>
  <c r="E583" i="11"/>
  <c r="C584" i="11"/>
  <c r="D584" i="11"/>
  <c r="E584" i="11"/>
  <c r="F584" i="11"/>
  <c r="C585" i="11"/>
  <c r="D585" i="11"/>
  <c r="E585" i="11"/>
  <c r="F585" i="11"/>
  <c r="G585" i="11"/>
  <c r="K585" i="11"/>
  <c r="C586" i="11"/>
  <c r="D586" i="11"/>
  <c r="F586" i="11"/>
  <c r="E586" i="11"/>
  <c r="C587" i="11"/>
  <c r="D587" i="11"/>
  <c r="F587" i="11"/>
  <c r="E587" i="11"/>
  <c r="C588" i="11"/>
  <c r="D588" i="11"/>
  <c r="E588" i="11"/>
  <c r="F588" i="11"/>
  <c r="C589" i="11"/>
  <c r="D589" i="11"/>
  <c r="E589" i="11"/>
  <c r="F589" i="11"/>
  <c r="C590" i="11"/>
  <c r="D590" i="11"/>
  <c r="E590" i="11"/>
  <c r="F590" i="11"/>
  <c r="C591" i="11"/>
  <c r="D591" i="11"/>
  <c r="F591" i="11"/>
  <c r="E591" i="11"/>
  <c r="C592" i="11"/>
  <c r="D592" i="11"/>
  <c r="E592" i="11"/>
  <c r="F592" i="11"/>
  <c r="C593" i="11"/>
  <c r="D593" i="11"/>
  <c r="E593" i="11"/>
  <c r="F593" i="11"/>
  <c r="C594" i="11"/>
  <c r="D594" i="11"/>
  <c r="F594" i="11"/>
  <c r="E594" i="11"/>
  <c r="C595" i="11"/>
  <c r="D595" i="11"/>
  <c r="F595" i="11"/>
  <c r="E595" i="11"/>
  <c r="C596" i="11"/>
  <c r="D596" i="11"/>
  <c r="E596" i="11"/>
  <c r="F596" i="11"/>
  <c r="C597" i="11"/>
  <c r="D597" i="11"/>
  <c r="E597" i="11"/>
  <c r="F597" i="11"/>
  <c r="C598" i="11"/>
  <c r="D598" i="11"/>
  <c r="F598" i="11"/>
  <c r="E598" i="11"/>
  <c r="C599" i="11"/>
  <c r="D599" i="11"/>
  <c r="E599" i="11"/>
  <c r="F599" i="11"/>
  <c r="C600" i="11"/>
  <c r="D600" i="11"/>
  <c r="E600" i="11"/>
  <c r="F600" i="11"/>
  <c r="C601" i="11"/>
  <c r="D601" i="11"/>
  <c r="F601" i="11"/>
  <c r="E601" i="11"/>
  <c r="C602" i="11"/>
  <c r="D602" i="11"/>
  <c r="F602" i="11"/>
  <c r="E602" i="11"/>
  <c r="C603" i="11"/>
  <c r="D603" i="11"/>
  <c r="E603" i="11"/>
  <c r="F603" i="11"/>
  <c r="C604" i="11"/>
  <c r="D604" i="11"/>
  <c r="E604" i="11"/>
  <c r="F604" i="11"/>
  <c r="C605" i="11"/>
  <c r="D605" i="11"/>
  <c r="F605" i="11"/>
  <c r="E605" i="11"/>
  <c r="C606" i="11"/>
  <c r="D606" i="11"/>
  <c r="F606" i="11"/>
  <c r="E606" i="11"/>
  <c r="C607" i="11"/>
  <c r="D607" i="11"/>
  <c r="E607" i="11"/>
  <c r="F607" i="11"/>
  <c r="C608" i="11"/>
  <c r="D608" i="11"/>
  <c r="E608" i="11"/>
  <c r="F608" i="11"/>
  <c r="C609" i="11"/>
  <c r="D609" i="11"/>
  <c r="F609" i="11"/>
  <c r="E609" i="11"/>
  <c r="C610" i="11"/>
  <c r="D610" i="11"/>
  <c r="F610" i="11"/>
  <c r="E610" i="11"/>
  <c r="C611" i="11"/>
  <c r="D611" i="11"/>
  <c r="E611" i="11"/>
  <c r="F611" i="11"/>
  <c r="C612" i="11"/>
  <c r="D612" i="11"/>
  <c r="E612" i="11"/>
  <c r="F612" i="11"/>
  <c r="Y7" i="30"/>
  <c r="X7" i="30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Y6" i="30"/>
  <c r="X6" i="30"/>
  <c r="C373" i="11"/>
  <c r="C374" i="11"/>
  <c r="C380" i="11"/>
  <c r="C381" i="11"/>
  <c r="C387" i="11"/>
  <c r="C388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370" i="11"/>
  <c r="P402" i="11"/>
  <c r="P403" i="11"/>
  <c r="D403" i="11"/>
  <c r="C403" i="11"/>
  <c r="F403" i="11"/>
  <c r="E403" i="11"/>
  <c r="P401" i="11"/>
  <c r="X385" i="11"/>
  <c r="C385" i="11"/>
  <c r="D385" i="11"/>
  <c r="F385" i="11"/>
  <c r="E385" i="11"/>
  <c r="Y5" i="30"/>
  <c r="X5" i="30"/>
  <c r="Z5" i="30"/>
  <c r="AA5" i="30"/>
  <c r="AC16" i="2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40" i="11"/>
  <c r="Y4" i="30"/>
  <c r="X4" i="30"/>
  <c r="Z4" i="30"/>
  <c r="AA4" i="30"/>
  <c r="J309" i="11"/>
  <c r="J310" i="11"/>
  <c r="J311" i="11"/>
  <c r="J312" i="11"/>
  <c r="J313" i="11"/>
  <c r="J314" i="11"/>
  <c r="J315" i="11"/>
  <c r="J316" i="11"/>
  <c r="J317" i="11"/>
  <c r="J318" i="11"/>
  <c r="J319" i="11"/>
  <c r="C319" i="11"/>
  <c r="D319" i="11"/>
  <c r="F319" i="11"/>
  <c r="E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X3" i="30"/>
  <c r="Y3" i="30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4" i="11"/>
  <c r="J295" i="11"/>
  <c r="C300" i="11"/>
  <c r="D300" i="11"/>
  <c r="F300" i="11"/>
  <c r="E300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Y2" i="30"/>
  <c r="X2" i="30"/>
  <c r="S30" i="2"/>
  <c r="S31" i="2"/>
  <c r="G254" i="11"/>
  <c r="J254" i="11"/>
  <c r="K254" i="11"/>
  <c r="G255" i="11"/>
  <c r="G261" i="11"/>
  <c r="G262" i="11"/>
  <c r="J262" i="11"/>
  <c r="G268" i="11"/>
  <c r="J268" i="11"/>
  <c r="G269" i="11"/>
  <c r="G275" i="11"/>
  <c r="J275" i="11"/>
  <c r="G276" i="11"/>
  <c r="J251" i="11"/>
  <c r="J252" i="11"/>
  <c r="J253" i="11"/>
  <c r="J255" i="11"/>
  <c r="J256" i="11"/>
  <c r="J257" i="11"/>
  <c r="J258" i="11"/>
  <c r="J259" i="11"/>
  <c r="J260" i="11"/>
  <c r="J261" i="11"/>
  <c r="J263" i="11"/>
  <c r="J264" i="11"/>
  <c r="J265" i="11"/>
  <c r="J266" i="11"/>
  <c r="J267" i="11"/>
  <c r="J269" i="11"/>
  <c r="J270" i="11"/>
  <c r="J271" i="11"/>
  <c r="J272" i="11"/>
  <c r="J273" i="11"/>
  <c r="J274" i="11"/>
  <c r="J276" i="11"/>
  <c r="J277" i="11"/>
  <c r="J278" i="11"/>
  <c r="C278" i="11"/>
  <c r="D278" i="11"/>
  <c r="F278" i="11"/>
  <c r="E278" i="11"/>
  <c r="J279" i="11"/>
  <c r="J280" i="11"/>
  <c r="J250" i="11"/>
  <c r="C282" i="11"/>
  <c r="D282" i="11"/>
  <c r="F282" i="11"/>
  <c r="E282" i="11"/>
  <c r="D283" i="11"/>
  <c r="F283" i="11"/>
  <c r="E283" i="11"/>
  <c r="D284" i="11"/>
  <c r="E284" i="11"/>
  <c r="F284" i="11"/>
  <c r="C285" i="11"/>
  <c r="D285" i="11"/>
  <c r="E285" i="11"/>
  <c r="F285" i="11"/>
  <c r="C286" i="11"/>
  <c r="D286" i="11"/>
  <c r="E286" i="11"/>
  <c r="F286" i="11"/>
  <c r="C287" i="11"/>
  <c r="D287" i="11"/>
  <c r="E287" i="11"/>
  <c r="F287" i="11"/>
  <c r="C288" i="11"/>
  <c r="D288" i="11"/>
  <c r="E288" i="11"/>
  <c r="F288" i="11"/>
  <c r="D289" i="11"/>
  <c r="E289" i="11"/>
  <c r="F289" i="11"/>
  <c r="D290" i="11"/>
  <c r="E290" i="11"/>
  <c r="F290" i="11"/>
  <c r="C291" i="11"/>
  <c r="D291" i="11"/>
  <c r="E291" i="11"/>
  <c r="F291" i="11"/>
  <c r="C292" i="11"/>
  <c r="D292" i="11"/>
  <c r="F292" i="11"/>
  <c r="E292" i="11"/>
  <c r="C293" i="11"/>
  <c r="D293" i="11"/>
  <c r="E293" i="11"/>
  <c r="F293" i="11"/>
  <c r="C294" i="11"/>
  <c r="D294" i="11"/>
  <c r="E294" i="11"/>
  <c r="F294" i="11"/>
  <c r="D295" i="11"/>
  <c r="E295" i="11"/>
  <c r="F295" i="11"/>
  <c r="G295" i="11"/>
  <c r="D296" i="11"/>
  <c r="F296" i="11"/>
  <c r="E296" i="11"/>
  <c r="D297" i="11"/>
  <c r="E297" i="11"/>
  <c r="F297" i="11"/>
  <c r="D298" i="11"/>
  <c r="E298" i="11"/>
  <c r="F298" i="11"/>
  <c r="D299" i="11"/>
  <c r="F299" i="11"/>
  <c r="E299" i="11"/>
  <c r="C301" i="11"/>
  <c r="D301" i="11"/>
  <c r="F301" i="11"/>
  <c r="E301" i="11"/>
  <c r="G301" i="11"/>
  <c r="K301" i="11"/>
  <c r="C302" i="11"/>
  <c r="D302" i="11"/>
  <c r="E302" i="11"/>
  <c r="F302" i="11"/>
  <c r="C303" i="11"/>
  <c r="D303" i="11"/>
  <c r="E303" i="11"/>
  <c r="F303" i="11"/>
  <c r="D304" i="11"/>
  <c r="E304" i="11"/>
  <c r="F304" i="11"/>
  <c r="C305" i="11"/>
  <c r="D305" i="11"/>
  <c r="E305" i="11"/>
  <c r="F305" i="11"/>
  <c r="G305" i="11"/>
  <c r="K305" i="11"/>
  <c r="C306" i="11"/>
  <c r="D306" i="11"/>
  <c r="E306" i="11"/>
  <c r="F306" i="11"/>
  <c r="C307" i="11"/>
  <c r="D307" i="11"/>
  <c r="E307" i="11"/>
  <c r="F307" i="11"/>
  <c r="C308" i="11"/>
  <c r="D308" i="11"/>
  <c r="E308" i="11"/>
  <c r="F308" i="11"/>
  <c r="C309" i="11"/>
  <c r="D309" i="11"/>
  <c r="E309" i="11"/>
  <c r="F309" i="11"/>
  <c r="C310" i="11"/>
  <c r="D310" i="11"/>
  <c r="E310" i="11"/>
  <c r="F310" i="11"/>
  <c r="C311" i="11"/>
  <c r="D311" i="11"/>
  <c r="F311" i="11"/>
  <c r="E311" i="11"/>
  <c r="C312" i="11"/>
  <c r="D312" i="11"/>
  <c r="E312" i="11"/>
  <c r="F312" i="11"/>
  <c r="G312" i="11"/>
  <c r="K312" i="11"/>
  <c r="C313" i="11"/>
  <c r="D313" i="11"/>
  <c r="E313" i="11"/>
  <c r="F313" i="11"/>
  <c r="C314" i="11"/>
  <c r="D314" i="11"/>
  <c r="E314" i="11"/>
  <c r="F314" i="11"/>
  <c r="C315" i="11"/>
  <c r="D315" i="11"/>
  <c r="F315" i="11"/>
  <c r="E315" i="11"/>
  <c r="C316" i="11"/>
  <c r="D316" i="11"/>
  <c r="E316" i="11"/>
  <c r="F316" i="11"/>
  <c r="C317" i="11"/>
  <c r="D317" i="11"/>
  <c r="F317" i="11"/>
  <c r="E317" i="11"/>
  <c r="C318" i="11"/>
  <c r="D318" i="11"/>
  <c r="E318" i="11"/>
  <c r="F318" i="11"/>
  <c r="C320" i="11"/>
  <c r="D320" i="11"/>
  <c r="E320" i="11"/>
  <c r="F320" i="11"/>
  <c r="C321" i="11"/>
  <c r="D321" i="11"/>
  <c r="E321" i="11"/>
  <c r="F321" i="11"/>
  <c r="C322" i="11"/>
  <c r="D322" i="11"/>
  <c r="F322" i="11"/>
  <c r="E322" i="11"/>
  <c r="C323" i="11"/>
  <c r="D323" i="11"/>
  <c r="E323" i="11"/>
  <c r="F323" i="11"/>
  <c r="C324" i="11"/>
  <c r="D324" i="11"/>
  <c r="F324" i="11"/>
  <c r="E324" i="11"/>
  <c r="C325" i="11"/>
  <c r="D325" i="11"/>
  <c r="F325" i="11"/>
  <c r="E325" i="11"/>
  <c r="C326" i="11"/>
  <c r="D326" i="11"/>
  <c r="E326" i="11"/>
  <c r="F326" i="11"/>
  <c r="C327" i="11"/>
  <c r="D327" i="11"/>
  <c r="F327" i="11"/>
  <c r="E327" i="11"/>
  <c r="C328" i="11"/>
  <c r="D328" i="11"/>
  <c r="E328" i="11"/>
  <c r="F328" i="11"/>
  <c r="C329" i="11"/>
  <c r="D329" i="11"/>
  <c r="F329" i="11"/>
  <c r="E329" i="11"/>
  <c r="C330" i="11"/>
  <c r="D330" i="11"/>
  <c r="E330" i="11"/>
  <c r="F330" i="11"/>
  <c r="G330" i="11"/>
  <c r="K330" i="11"/>
  <c r="C331" i="11"/>
  <c r="D331" i="11"/>
  <c r="E331" i="11"/>
  <c r="F331" i="11"/>
  <c r="C332" i="11"/>
  <c r="D332" i="11"/>
  <c r="E332" i="11"/>
  <c r="F332" i="11"/>
  <c r="C333" i="11"/>
  <c r="D333" i="11"/>
  <c r="F333" i="11"/>
  <c r="E333" i="11"/>
  <c r="C334" i="11"/>
  <c r="D334" i="11"/>
  <c r="E334" i="11"/>
  <c r="F334" i="11"/>
  <c r="G334" i="11"/>
  <c r="K334" i="11"/>
  <c r="C335" i="11"/>
  <c r="D335" i="11"/>
  <c r="F335" i="11"/>
  <c r="E335" i="11"/>
  <c r="C336" i="11"/>
  <c r="D336" i="11"/>
  <c r="F336" i="11"/>
  <c r="E336" i="11"/>
  <c r="C337" i="11"/>
  <c r="D337" i="11"/>
  <c r="F337" i="11"/>
  <c r="E337" i="11"/>
  <c r="C338" i="11"/>
  <c r="D338" i="11"/>
  <c r="F338" i="11"/>
  <c r="E338" i="11"/>
  <c r="C339" i="11"/>
  <c r="D339" i="11"/>
  <c r="F339" i="11"/>
  <c r="E339" i="11"/>
  <c r="C340" i="11"/>
  <c r="D340" i="11"/>
  <c r="F340" i="11"/>
  <c r="E340" i="11"/>
  <c r="C341" i="11"/>
  <c r="D341" i="11"/>
  <c r="F341" i="11"/>
  <c r="E341" i="11"/>
  <c r="C342" i="11"/>
  <c r="D342" i="11"/>
  <c r="F342" i="11"/>
  <c r="E342" i="11"/>
  <c r="C343" i="11"/>
  <c r="D343" i="11"/>
  <c r="F343" i="11"/>
  <c r="E343" i="11"/>
  <c r="C344" i="11"/>
  <c r="D344" i="11"/>
  <c r="E344" i="11"/>
  <c r="F344" i="11"/>
  <c r="G344" i="11"/>
  <c r="K344" i="11"/>
  <c r="C345" i="11"/>
  <c r="D345" i="11"/>
  <c r="F345" i="11"/>
  <c r="E345" i="11"/>
  <c r="C346" i="11"/>
  <c r="D346" i="11"/>
  <c r="F346" i="11"/>
  <c r="E346" i="11"/>
  <c r="C347" i="11"/>
  <c r="D347" i="11"/>
  <c r="E347" i="11"/>
  <c r="F347" i="11"/>
  <c r="C348" i="11"/>
  <c r="D348" i="11"/>
  <c r="F348" i="11"/>
  <c r="E348" i="11"/>
  <c r="C349" i="11"/>
  <c r="D349" i="11"/>
  <c r="F349" i="11"/>
  <c r="E349" i="11"/>
  <c r="C350" i="11"/>
  <c r="D350" i="11"/>
  <c r="F350" i="11"/>
  <c r="E350" i="11"/>
  <c r="C351" i="11"/>
  <c r="D351" i="11"/>
  <c r="E351" i="11"/>
  <c r="F351" i="11"/>
  <c r="C352" i="11"/>
  <c r="D352" i="11"/>
  <c r="F352" i="11"/>
  <c r="E352" i="11"/>
  <c r="C353" i="11"/>
  <c r="D353" i="11"/>
  <c r="F353" i="11"/>
  <c r="E353" i="11"/>
  <c r="C354" i="11"/>
  <c r="D354" i="11"/>
  <c r="E354" i="11"/>
  <c r="F354" i="11"/>
  <c r="G354" i="11"/>
  <c r="K354" i="11"/>
  <c r="C355" i="11"/>
  <c r="D355" i="11"/>
  <c r="F355" i="11"/>
  <c r="E355" i="11"/>
  <c r="C356" i="11"/>
  <c r="D356" i="11"/>
  <c r="E356" i="11"/>
  <c r="F356" i="11"/>
  <c r="C357" i="11"/>
  <c r="D357" i="11"/>
  <c r="E357" i="11"/>
  <c r="F357" i="11"/>
  <c r="C358" i="11"/>
  <c r="D358" i="11"/>
  <c r="E358" i="11"/>
  <c r="F358" i="11"/>
  <c r="C359" i="11"/>
  <c r="D359" i="11"/>
  <c r="F359" i="11"/>
  <c r="E359" i="11"/>
  <c r="C360" i="11"/>
  <c r="D360" i="11"/>
  <c r="F360" i="11"/>
  <c r="E360" i="11"/>
  <c r="C361" i="11"/>
  <c r="D361" i="11"/>
  <c r="E361" i="11"/>
  <c r="F361" i="11"/>
  <c r="C362" i="11"/>
  <c r="D362" i="11"/>
  <c r="E362" i="11"/>
  <c r="F362" i="11"/>
  <c r="C363" i="11"/>
  <c r="D363" i="11"/>
  <c r="E363" i="11"/>
  <c r="F363" i="11"/>
  <c r="C364" i="11"/>
  <c r="D364" i="11"/>
  <c r="E364" i="11"/>
  <c r="F364" i="11"/>
  <c r="G364" i="11"/>
  <c r="K364" i="11"/>
  <c r="C365" i="11"/>
  <c r="D365" i="11"/>
  <c r="E365" i="11"/>
  <c r="F365" i="11"/>
  <c r="C366" i="11"/>
  <c r="D366" i="11"/>
  <c r="E366" i="11"/>
  <c r="F366" i="11"/>
  <c r="C367" i="11"/>
  <c r="D367" i="11"/>
  <c r="E367" i="11"/>
  <c r="F367" i="11"/>
  <c r="C368" i="11"/>
  <c r="D368" i="11"/>
  <c r="E368" i="11"/>
  <c r="F368" i="11"/>
  <c r="C369" i="11"/>
  <c r="D369" i="11"/>
  <c r="E369" i="11"/>
  <c r="F369" i="11"/>
  <c r="C370" i="11"/>
  <c r="D370" i="11"/>
  <c r="E370" i="11"/>
  <c r="F370" i="11"/>
  <c r="C371" i="11"/>
  <c r="D371" i="11"/>
  <c r="E371" i="11"/>
  <c r="F371" i="11"/>
  <c r="C372" i="11"/>
  <c r="D372" i="11"/>
  <c r="E372" i="11"/>
  <c r="F372" i="11"/>
  <c r="D373" i="11"/>
  <c r="E373" i="11"/>
  <c r="F373" i="11"/>
  <c r="D374" i="11"/>
  <c r="E374" i="11"/>
  <c r="F374" i="11"/>
  <c r="C375" i="11"/>
  <c r="D375" i="11"/>
  <c r="E375" i="11"/>
  <c r="F375" i="11"/>
  <c r="C376" i="11"/>
  <c r="D376" i="11"/>
  <c r="E376" i="11"/>
  <c r="F376" i="11"/>
  <c r="C377" i="11"/>
  <c r="D377" i="11"/>
  <c r="F377" i="11"/>
  <c r="E377" i="11"/>
  <c r="C378" i="11"/>
  <c r="D378" i="11"/>
  <c r="E378" i="11"/>
  <c r="F378" i="11"/>
  <c r="C379" i="11"/>
  <c r="D379" i="11"/>
  <c r="E379" i="11"/>
  <c r="F379" i="11"/>
  <c r="D380" i="11"/>
  <c r="F380" i="11"/>
  <c r="E380" i="11"/>
  <c r="D381" i="11"/>
  <c r="E381" i="11"/>
  <c r="F381" i="11"/>
  <c r="C382" i="11"/>
  <c r="D382" i="11"/>
  <c r="E382" i="11"/>
  <c r="F382" i="11"/>
  <c r="C383" i="11"/>
  <c r="D383" i="11"/>
  <c r="E383" i="11"/>
  <c r="F383" i="11"/>
  <c r="D384" i="11"/>
  <c r="E384" i="11"/>
  <c r="F384" i="11"/>
  <c r="C386" i="11"/>
  <c r="D386" i="11"/>
  <c r="E386" i="11"/>
  <c r="F386" i="11"/>
  <c r="D387" i="11"/>
  <c r="F387" i="11"/>
  <c r="E387" i="11"/>
  <c r="G387" i="11"/>
  <c r="K387" i="11"/>
  <c r="D388" i="11"/>
  <c r="F388" i="11"/>
  <c r="E388" i="11"/>
  <c r="C389" i="11"/>
  <c r="D389" i="11"/>
  <c r="E389" i="11"/>
  <c r="F389" i="11"/>
  <c r="C390" i="11"/>
  <c r="D390" i="11"/>
  <c r="E390" i="11"/>
  <c r="F390" i="11"/>
  <c r="C391" i="11"/>
  <c r="D391" i="11"/>
  <c r="F391" i="11"/>
  <c r="E391" i="11"/>
  <c r="C392" i="11"/>
  <c r="D392" i="11"/>
  <c r="F392" i="11"/>
  <c r="E392" i="11"/>
  <c r="C393" i="11"/>
  <c r="D393" i="11"/>
  <c r="E393" i="11"/>
  <c r="F393" i="11"/>
  <c r="G393" i="11"/>
  <c r="K393" i="11"/>
  <c r="C394" i="11"/>
  <c r="D394" i="11"/>
  <c r="F394" i="11"/>
  <c r="E394" i="11"/>
  <c r="C395" i="11"/>
  <c r="D395" i="11"/>
  <c r="E395" i="11"/>
  <c r="F395" i="11"/>
  <c r="G395" i="11"/>
  <c r="C396" i="11"/>
  <c r="D396" i="11"/>
  <c r="E396" i="11"/>
  <c r="F396" i="11"/>
  <c r="C397" i="11"/>
  <c r="D397" i="11"/>
  <c r="F397" i="11"/>
  <c r="E397" i="11"/>
  <c r="C398" i="11"/>
  <c r="D398" i="11"/>
  <c r="E398" i="11"/>
  <c r="F398" i="11"/>
  <c r="C399" i="11"/>
  <c r="D399" i="11"/>
  <c r="F399" i="11"/>
  <c r="E399" i="11"/>
  <c r="C400" i="11"/>
  <c r="E400" i="11"/>
  <c r="F400" i="11"/>
  <c r="C401" i="11"/>
  <c r="E401" i="11"/>
  <c r="F401" i="11"/>
  <c r="C402" i="11"/>
  <c r="E402" i="11"/>
  <c r="F402" i="11"/>
  <c r="C404" i="11"/>
  <c r="D404" i="11"/>
  <c r="E404" i="11"/>
  <c r="F404" i="11"/>
  <c r="C405" i="11"/>
  <c r="D405" i="11"/>
  <c r="F405" i="11"/>
  <c r="E405" i="11"/>
  <c r="G405" i="11"/>
  <c r="C406" i="11"/>
  <c r="D406" i="11"/>
  <c r="F406" i="11"/>
  <c r="E406" i="11"/>
  <c r="G406" i="11"/>
  <c r="C407" i="11"/>
  <c r="D407" i="11"/>
  <c r="F407" i="11"/>
  <c r="E407" i="11"/>
  <c r="G407" i="11"/>
  <c r="K407" i="11"/>
  <c r="C408" i="11"/>
  <c r="D408" i="11"/>
  <c r="F408" i="11"/>
  <c r="E408" i="11"/>
  <c r="C409" i="11"/>
  <c r="D409" i="11"/>
  <c r="F409" i="11"/>
  <c r="E409" i="11"/>
  <c r="G409" i="11"/>
  <c r="K409" i="11"/>
  <c r="C410" i="11"/>
  <c r="D410" i="11"/>
  <c r="E410" i="11"/>
  <c r="F410" i="11"/>
  <c r="C411" i="11"/>
  <c r="D411" i="11"/>
  <c r="F411" i="11"/>
  <c r="E411" i="11"/>
  <c r="C412" i="11"/>
  <c r="D412" i="11"/>
  <c r="F412" i="11"/>
  <c r="E412" i="11"/>
  <c r="G412" i="11"/>
  <c r="K412" i="11"/>
  <c r="C413" i="11"/>
  <c r="D413" i="11"/>
  <c r="E413" i="11"/>
  <c r="F413" i="11"/>
  <c r="C414" i="11"/>
  <c r="D414" i="11"/>
  <c r="F414" i="11"/>
  <c r="E414" i="11"/>
  <c r="G414" i="11"/>
  <c r="C415" i="11"/>
  <c r="D415" i="11"/>
  <c r="F415" i="11"/>
  <c r="E415" i="11"/>
  <c r="C416" i="11"/>
  <c r="D416" i="11"/>
  <c r="F416" i="11"/>
  <c r="E416" i="11"/>
  <c r="C417" i="11"/>
  <c r="D417" i="11"/>
  <c r="F417" i="11"/>
  <c r="E417" i="11"/>
  <c r="C418" i="11"/>
  <c r="D418" i="11"/>
  <c r="E418" i="11"/>
  <c r="F418" i="11"/>
  <c r="C419" i="11"/>
  <c r="D419" i="11"/>
  <c r="E419" i="11"/>
  <c r="F419" i="11"/>
  <c r="C420" i="11"/>
  <c r="D420" i="11"/>
  <c r="E420" i="11"/>
  <c r="F420" i="11"/>
  <c r="C421" i="11"/>
  <c r="D421" i="11"/>
  <c r="E421" i="11"/>
  <c r="F421" i="11"/>
  <c r="C422" i="11"/>
  <c r="D422" i="11"/>
  <c r="E422" i="11"/>
  <c r="F422" i="11"/>
  <c r="C423" i="11"/>
  <c r="D423" i="11"/>
  <c r="E423" i="11"/>
  <c r="F423" i="11"/>
  <c r="C424" i="11"/>
  <c r="D424" i="11"/>
  <c r="E424" i="11"/>
  <c r="F424" i="11"/>
  <c r="C425" i="11"/>
  <c r="D425" i="11"/>
  <c r="E425" i="11"/>
  <c r="F425" i="11"/>
  <c r="C426" i="11"/>
  <c r="D426" i="11"/>
  <c r="E426" i="11"/>
  <c r="F426" i="11"/>
  <c r="C427" i="11"/>
  <c r="D427" i="11"/>
  <c r="E427" i="11"/>
  <c r="F427" i="11"/>
  <c r="C428" i="11"/>
  <c r="D428" i="11"/>
  <c r="E428" i="11"/>
  <c r="F428" i="11"/>
  <c r="C429" i="11"/>
  <c r="D429" i="11"/>
  <c r="E429" i="11"/>
  <c r="F429" i="11"/>
  <c r="C430" i="11"/>
  <c r="D430" i="11"/>
  <c r="E430" i="11"/>
  <c r="F430" i="11"/>
  <c r="C431" i="11"/>
  <c r="D431" i="11"/>
  <c r="E431" i="11"/>
  <c r="F431" i="11"/>
  <c r="C432" i="11"/>
  <c r="D432" i="11"/>
  <c r="E432" i="11"/>
  <c r="F432" i="11"/>
  <c r="C433" i="11"/>
  <c r="D433" i="11"/>
  <c r="E433" i="11"/>
  <c r="F433" i="11"/>
  <c r="C434" i="11"/>
  <c r="D434" i="11"/>
  <c r="E434" i="11"/>
  <c r="F434" i="11"/>
  <c r="C435" i="11"/>
  <c r="D435" i="11"/>
  <c r="E435" i="11"/>
  <c r="F435" i="11"/>
  <c r="D436" i="11"/>
  <c r="E436" i="11"/>
  <c r="F436" i="11"/>
  <c r="D437" i="11"/>
  <c r="F437" i="11"/>
  <c r="E437" i="11"/>
  <c r="C438" i="11"/>
  <c r="D438" i="11"/>
  <c r="F438" i="11"/>
  <c r="E438" i="11"/>
  <c r="C439" i="11"/>
  <c r="D439" i="11"/>
  <c r="E439" i="11"/>
  <c r="F439" i="11"/>
  <c r="G439" i="11"/>
  <c r="K439" i="11"/>
  <c r="D440" i="11"/>
  <c r="E440" i="11"/>
  <c r="F440" i="11"/>
  <c r="C441" i="11"/>
  <c r="D441" i="11"/>
  <c r="E441" i="11"/>
  <c r="F441" i="11"/>
  <c r="C442" i="11"/>
  <c r="D442" i="11"/>
  <c r="E442" i="11"/>
  <c r="F442" i="11"/>
  <c r="D443" i="11"/>
  <c r="F443" i="11"/>
  <c r="E443" i="11"/>
  <c r="G443" i="11"/>
  <c r="D444" i="11"/>
  <c r="E444" i="11"/>
  <c r="F444" i="11"/>
  <c r="C445" i="11"/>
  <c r="D445" i="11"/>
  <c r="E445" i="11"/>
  <c r="F445" i="11"/>
  <c r="C446" i="11"/>
  <c r="D446" i="11"/>
  <c r="F446" i="11"/>
  <c r="E446" i="11"/>
  <c r="C447" i="11"/>
  <c r="D447" i="11"/>
  <c r="E447" i="11"/>
  <c r="F447" i="11"/>
  <c r="C448" i="11"/>
  <c r="D448" i="11"/>
  <c r="E448" i="11"/>
  <c r="F448" i="11"/>
  <c r="C449" i="11"/>
  <c r="D449" i="11"/>
  <c r="E449" i="11"/>
  <c r="F449" i="11"/>
  <c r="G449" i="11"/>
  <c r="K449" i="11"/>
  <c r="D450" i="11"/>
  <c r="E450" i="11"/>
  <c r="F450" i="11"/>
  <c r="D451" i="11"/>
  <c r="E451" i="11"/>
  <c r="F451" i="11"/>
  <c r="C452" i="11"/>
  <c r="D452" i="11"/>
  <c r="E452" i="11"/>
  <c r="F452" i="11"/>
  <c r="C453" i="11"/>
  <c r="D453" i="11"/>
  <c r="F453" i="11"/>
  <c r="E453" i="11"/>
  <c r="C454" i="11"/>
  <c r="D454" i="11"/>
  <c r="F454" i="11"/>
  <c r="E454" i="11"/>
  <c r="C455" i="11"/>
  <c r="D455" i="11"/>
  <c r="E455" i="11"/>
  <c r="F455" i="11"/>
  <c r="C456" i="11"/>
  <c r="D456" i="11"/>
  <c r="F456" i="11"/>
  <c r="E456" i="11"/>
  <c r="D457" i="11"/>
  <c r="E457" i="11"/>
  <c r="F457" i="11"/>
  <c r="C281" i="11"/>
  <c r="D281" i="11"/>
  <c r="E281" i="11"/>
  <c r="F281" i="11"/>
  <c r="C280" i="11"/>
  <c r="D280" i="11"/>
  <c r="F280" i="11"/>
  <c r="E280" i="11"/>
  <c r="C279" i="11"/>
  <c r="D279" i="11"/>
  <c r="E279" i="11"/>
  <c r="F279" i="11"/>
  <c r="C277" i="11"/>
  <c r="D277" i="11"/>
  <c r="E277" i="11"/>
  <c r="F277" i="11"/>
  <c r="C274" i="11"/>
  <c r="D274" i="11"/>
  <c r="E274" i="11"/>
  <c r="F274" i="11"/>
  <c r="C273" i="11"/>
  <c r="D273" i="11"/>
  <c r="E273" i="11"/>
  <c r="F273" i="11"/>
  <c r="D272" i="11"/>
  <c r="E272" i="11"/>
  <c r="F272" i="11"/>
  <c r="X272" i="11"/>
  <c r="C271" i="11"/>
  <c r="D271" i="11"/>
  <c r="E271" i="11"/>
  <c r="F271" i="11"/>
  <c r="C270" i="11"/>
  <c r="D270" i="11"/>
  <c r="F270" i="11"/>
  <c r="E270" i="11"/>
  <c r="C267" i="11"/>
  <c r="D267" i="11"/>
  <c r="E267" i="11"/>
  <c r="F267" i="11"/>
  <c r="C266" i="11"/>
  <c r="D266" i="11"/>
  <c r="F266" i="11"/>
  <c r="E266" i="11"/>
  <c r="C265" i="11"/>
  <c r="D265" i="11"/>
  <c r="F265" i="11"/>
  <c r="E265" i="11"/>
  <c r="C264" i="11"/>
  <c r="D264" i="11"/>
  <c r="E264" i="11"/>
  <c r="F264" i="11"/>
  <c r="C263" i="11"/>
  <c r="D263" i="11"/>
  <c r="F263" i="11"/>
  <c r="E263" i="11"/>
  <c r="C260" i="11"/>
  <c r="D260" i="11"/>
  <c r="E260" i="11"/>
  <c r="F260" i="11"/>
  <c r="G260" i="11"/>
  <c r="C259" i="11"/>
  <c r="D259" i="11"/>
  <c r="F259" i="11"/>
  <c r="E259" i="11"/>
  <c r="C258" i="11"/>
  <c r="D258" i="11"/>
  <c r="E258" i="11"/>
  <c r="F258" i="11"/>
  <c r="AH13" i="30"/>
  <c r="AG13" i="30"/>
  <c r="AI13" i="30"/>
  <c r="AJ13" i="30"/>
  <c r="AH12" i="30"/>
  <c r="AG12" i="30"/>
  <c r="AH11" i="30"/>
  <c r="AG11" i="30"/>
  <c r="AH10" i="30"/>
  <c r="AG10" i="30"/>
  <c r="AH9" i="30"/>
  <c r="AG9" i="30"/>
  <c r="AH8" i="30"/>
  <c r="AG8" i="30"/>
  <c r="AH7" i="30"/>
  <c r="AG7" i="30"/>
  <c r="AH6" i="30"/>
  <c r="AG6" i="30"/>
  <c r="AI6" i="30"/>
  <c r="AJ6" i="30"/>
  <c r="AH5" i="30"/>
  <c r="AG5" i="30"/>
  <c r="AI5" i="30"/>
  <c r="AE5" i="30"/>
  <c r="AJ5" i="30"/>
  <c r="AH4" i="30"/>
  <c r="AG4" i="30"/>
  <c r="AE4" i="30"/>
  <c r="AG3" i="30"/>
  <c r="AH3" i="30"/>
  <c r="AI3" i="30"/>
  <c r="AG2" i="30"/>
  <c r="AE3" i="30"/>
  <c r="AE2" i="30"/>
  <c r="AE14" i="30"/>
  <c r="AE15" i="30"/>
  <c r="AH2" i="30"/>
  <c r="AI2" i="30"/>
  <c r="C257" i="11"/>
  <c r="D257" i="11"/>
  <c r="E257" i="11"/>
  <c r="F257" i="11"/>
  <c r="R30" i="2"/>
  <c r="R31" i="2"/>
  <c r="D220" i="11"/>
  <c r="C220" i="11"/>
  <c r="F220" i="11"/>
  <c r="E220" i="11"/>
  <c r="D219" i="11"/>
  <c r="C219" i="11"/>
  <c r="F219" i="11"/>
  <c r="E219" i="11"/>
  <c r="D234" i="11"/>
  <c r="C234" i="11"/>
  <c r="D233" i="11"/>
  <c r="C233" i="11"/>
  <c r="F233" i="11"/>
  <c r="E233" i="11"/>
  <c r="D249" i="11"/>
  <c r="C249" i="11"/>
  <c r="F249" i="11"/>
  <c r="E249" i="11"/>
  <c r="G249" i="11"/>
  <c r="J247" i="11"/>
  <c r="J248" i="11"/>
  <c r="J249" i="11"/>
  <c r="K249" i="11"/>
  <c r="D248" i="11"/>
  <c r="C248" i="11"/>
  <c r="D247" i="11"/>
  <c r="C247" i="11"/>
  <c r="F234" i="11"/>
  <c r="E234" i="11"/>
  <c r="F248" i="11"/>
  <c r="E248" i="11"/>
  <c r="F247" i="11"/>
  <c r="E247" i="11"/>
  <c r="J220" i="11"/>
  <c r="J219" i="11"/>
  <c r="J221" i="11"/>
  <c r="C221" i="11"/>
  <c r="D221" i="11"/>
  <c r="F221" i="11"/>
  <c r="E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C256" i="11"/>
  <c r="D256" i="11"/>
  <c r="F256" i="11"/>
  <c r="E256" i="11"/>
  <c r="G256" i="11"/>
  <c r="K256" i="11"/>
  <c r="C253" i="11"/>
  <c r="D253" i="11"/>
  <c r="F253" i="11"/>
  <c r="E253" i="11"/>
  <c r="C252" i="11"/>
  <c r="D252" i="11"/>
  <c r="E252" i="11"/>
  <c r="F252" i="11"/>
  <c r="C251" i="11"/>
  <c r="D251" i="11"/>
  <c r="F251" i="11"/>
  <c r="E251" i="11"/>
  <c r="C250" i="11"/>
  <c r="D250" i="11"/>
  <c r="F250" i="11"/>
  <c r="E250" i="11"/>
  <c r="C246" i="11"/>
  <c r="D246" i="11"/>
  <c r="F246" i="11"/>
  <c r="E246" i="11"/>
  <c r="G246" i="11"/>
  <c r="K246" i="11"/>
  <c r="C245" i="11"/>
  <c r="D245" i="11"/>
  <c r="E245" i="11"/>
  <c r="F245" i="11"/>
  <c r="C244" i="11"/>
  <c r="D244" i="11"/>
  <c r="F244" i="11"/>
  <c r="E244" i="11"/>
  <c r="G244" i="11"/>
  <c r="K244" i="11"/>
  <c r="C243" i="11"/>
  <c r="D243" i="11"/>
  <c r="E243" i="11"/>
  <c r="F243" i="11"/>
  <c r="C240" i="11"/>
  <c r="D240" i="11"/>
  <c r="E240" i="11"/>
  <c r="F240" i="11"/>
  <c r="C241" i="11"/>
  <c r="D241" i="11"/>
  <c r="F241" i="11"/>
  <c r="E241" i="11"/>
  <c r="C242" i="11"/>
  <c r="D242" i="11"/>
  <c r="F242" i="11"/>
  <c r="E242" i="11"/>
  <c r="C239" i="11"/>
  <c r="D239" i="11"/>
  <c r="E239" i="11"/>
  <c r="F239" i="11"/>
  <c r="C238" i="11"/>
  <c r="D238" i="11"/>
  <c r="E238" i="11"/>
  <c r="F238" i="11"/>
  <c r="C237" i="11"/>
  <c r="D237" i="11"/>
  <c r="E237" i="11"/>
  <c r="F237" i="11"/>
  <c r="C236" i="11"/>
  <c r="D236" i="11"/>
  <c r="E236" i="11"/>
  <c r="F236" i="11"/>
  <c r="Q33" i="2"/>
  <c r="Q30" i="2"/>
  <c r="C235" i="11"/>
  <c r="D235" i="11"/>
  <c r="F235" i="11"/>
  <c r="E235" i="11"/>
  <c r="C232" i="11"/>
  <c r="D232" i="11"/>
  <c r="F232" i="11"/>
  <c r="E232" i="11"/>
  <c r="C231" i="11"/>
  <c r="D231" i="11"/>
  <c r="F231" i="11"/>
  <c r="E231" i="11"/>
  <c r="C230" i="11"/>
  <c r="D230" i="11"/>
  <c r="F230" i="11"/>
  <c r="E230" i="11"/>
  <c r="G230" i="11"/>
  <c r="K230" i="11"/>
  <c r="C229" i="11"/>
  <c r="D229" i="11"/>
  <c r="F229" i="11"/>
  <c r="E229" i="11"/>
  <c r="C226" i="11"/>
  <c r="D226" i="11"/>
  <c r="F226" i="11"/>
  <c r="E226" i="11"/>
  <c r="C227" i="11"/>
  <c r="D227" i="11"/>
  <c r="F227" i="11"/>
  <c r="E227" i="11"/>
  <c r="C228" i="11"/>
  <c r="D228" i="11"/>
  <c r="F228" i="11"/>
  <c r="E228" i="11"/>
  <c r="C225" i="11"/>
  <c r="D225" i="11"/>
  <c r="F225" i="11"/>
  <c r="E225" i="11"/>
  <c r="C224" i="11"/>
  <c r="D224" i="11"/>
  <c r="F224" i="11"/>
  <c r="E224" i="11"/>
  <c r="J206" i="11"/>
  <c r="J207" i="11"/>
  <c r="J208" i="11"/>
  <c r="J209" i="11"/>
  <c r="J210" i="11"/>
  <c r="J211" i="11"/>
  <c r="C211" i="11"/>
  <c r="D211" i="11"/>
  <c r="F211" i="11"/>
  <c r="E211" i="11"/>
  <c r="J212" i="11"/>
  <c r="J213" i="11"/>
  <c r="J214" i="11"/>
  <c r="J215" i="11"/>
  <c r="J216" i="11"/>
  <c r="J217" i="11"/>
  <c r="J218" i="11"/>
  <c r="J205" i="11"/>
  <c r="J204" i="11"/>
  <c r="J203" i="11"/>
  <c r="J202" i="11"/>
  <c r="J201" i="11"/>
  <c r="J200" i="11"/>
  <c r="J199" i="11"/>
  <c r="C223" i="11"/>
  <c r="D223" i="11"/>
  <c r="F223" i="11"/>
  <c r="E223" i="11"/>
  <c r="G223" i="11"/>
  <c r="K223" i="11"/>
  <c r="C222" i="11"/>
  <c r="D222" i="11"/>
  <c r="F222" i="11"/>
  <c r="E222" i="11"/>
  <c r="G222" i="11"/>
  <c r="K222" i="11"/>
  <c r="C218" i="11"/>
  <c r="D218" i="11"/>
  <c r="F218" i="11"/>
  <c r="E218" i="11"/>
  <c r="C217" i="11"/>
  <c r="D217" i="11"/>
  <c r="F217" i="11"/>
  <c r="E217" i="11"/>
  <c r="C216" i="11"/>
  <c r="D216" i="11"/>
  <c r="F216" i="11"/>
  <c r="E216" i="11"/>
  <c r="C215" i="11"/>
  <c r="D215" i="11"/>
  <c r="F215" i="11"/>
  <c r="E215" i="11"/>
  <c r="C214" i="11"/>
  <c r="D214" i="11"/>
  <c r="F214" i="11"/>
  <c r="E214" i="11"/>
  <c r="C210" i="11"/>
  <c r="D210" i="11"/>
  <c r="F210" i="11"/>
  <c r="E210" i="11"/>
  <c r="C209" i="11"/>
  <c r="D209" i="11"/>
  <c r="F209" i="11"/>
  <c r="E209" i="11"/>
  <c r="C208" i="11"/>
  <c r="D208" i="11"/>
  <c r="F208" i="11"/>
  <c r="E208" i="11"/>
  <c r="C207" i="11"/>
  <c r="D207" i="11"/>
  <c r="E207" i="11"/>
  <c r="F207" i="11"/>
  <c r="C204" i="11"/>
  <c r="D204" i="11"/>
  <c r="F204" i="11"/>
  <c r="E204" i="11"/>
  <c r="C203" i="11"/>
  <c r="D203" i="11"/>
  <c r="F203" i="11"/>
  <c r="E203" i="11"/>
  <c r="C202" i="11"/>
  <c r="D202" i="11"/>
  <c r="F202" i="11"/>
  <c r="E202" i="11"/>
  <c r="C201" i="11"/>
  <c r="D201" i="11"/>
  <c r="F201" i="11"/>
  <c r="E201" i="11"/>
  <c r="C200" i="11"/>
  <c r="D200" i="11"/>
  <c r="E200" i="11"/>
  <c r="F200" i="11"/>
  <c r="C197" i="11"/>
  <c r="D197" i="11"/>
  <c r="F197" i="11"/>
  <c r="E197" i="11"/>
  <c r="J197" i="11"/>
  <c r="C196" i="11"/>
  <c r="D196" i="11"/>
  <c r="F196" i="11"/>
  <c r="E196" i="11"/>
  <c r="O30" i="2"/>
  <c r="O31" i="2"/>
  <c r="O33" i="2"/>
  <c r="P30" i="2"/>
  <c r="P31" i="2"/>
  <c r="P33" i="2"/>
  <c r="C195" i="11"/>
  <c r="D195" i="11"/>
  <c r="E195" i="11"/>
  <c r="F195" i="11"/>
  <c r="J195" i="11"/>
  <c r="C159" i="11"/>
  <c r="D159" i="11"/>
  <c r="E159" i="11"/>
  <c r="F159" i="11"/>
  <c r="C160" i="11"/>
  <c r="D160" i="11"/>
  <c r="E160" i="11"/>
  <c r="F160" i="11"/>
  <c r="C161" i="11"/>
  <c r="D161" i="11"/>
  <c r="E161" i="11"/>
  <c r="F161" i="11"/>
  <c r="J161" i="11"/>
  <c r="J160" i="11"/>
  <c r="C162" i="11"/>
  <c r="D162" i="11"/>
  <c r="E162" i="11"/>
  <c r="F162" i="11"/>
  <c r="G162" i="11"/>
  <c r="J162" i="11"/>
  <c r="K162" i="11"/>
  <c r="C163" i="11"/>
  <c r="D163" i="11"/>
  <c r="E163" i="11"/>
  <c r="F163" i="11"/>
  <c r="C164" i="11"/>
  <c r="D164" i="11"/>
  <c r="E164" i="11"/>
  <c r="F164" i="11"/>
  <c r="C165" i="11"/>
  <c r="D165" i="11"/>
  <c r="E165" i="11"/>
  <c r="F165" i="11"/>
  <c r="C166" i="11"/>
  <c r="D166" i="11"/>
  <c r="E166" i="11"/>
  <c r="F166" i="11"/>
  <c r="C167" i="11"/>
  <c r="D167" i="11"/>
  <c r="E167" i="11"/>
  <c r="F167" i="11"/>
  <c r="C168" i="11"/>
  <c r="D168" i="11"/>
  <c r="E168" i="11"/>
  <c r="F168" i="11"/>
  <c r="J168" i="11"/>
  <c r="C169" i="11"/>
  <c r="D169" i="11"/>
  <c r="E169" i="11"/>
  <c r="F169" i="11"/>
  <c r="J169" i="11"/>
  <c r="C170" i="11"/>
  <c r="D170" i="11"/>
  <c r="E170" i="11"/>
  <c r="F170" i="11"/>
  <c r="C171" i="11"/>
  <c r="D171" i="11"/>
  <c r="E171" i="11"/>
  <c r="F171" i="11"/>
  <c r="C172" i="11"/>
  <c r="D172" i="11"/>
  <c r="E172" i="11"/>
  <c r="F172" i="11"/>
  <c r="C173" i="11"/>
  <c r="D173" i="11"/>
  <c r="E173" i="11"/>
  <c r="F173" i="11"/>
  <c r="J173" i="11"/>
  <c r="C174" i="11"/>
  <c r="D174" i="11"/>
  <c r="E174" i="11"/>
  <c r="F174" i="11"/>
  <c r="G174" i="11"/>
  <c r="J174" i="11"/>
  <c r="K174" i="11"/>
  <c r="C175" i="11"/>
  <c r="D175" i="11"/>
  <c r="E175" i="11"/>
  <c r="F175" i="11"/>
  <c r="J175" i="11"/>
  <c r="C176" i="11"/>
  <c r="D176" i="11"/>
  <c r="E176" i="11"/>
  <c r="F176" i="11"/>
  <c r="C177" i="11"/>
  <c r="D177" i="11"/>
  <c r="E177" i="11"/>
  <c r="F177" i="11"/>
  <c r="C178" i="11"/>
  <c r="D178" i="11"/>
  <c r="E178" i="11"/>
  <c r="F178" i="11"/>
  <c r="C179" i="11"/>
  <c r="D179" i="11"/>
  <c r="E179" i="11"/>
  <c r="F179" i="11"/>
  <c r="J179" i="11"/>
  <c r="J178" i="11"/>
  <c r="J177" i="11"/>
  <c r="C180" i="11"/>
  <c r="D180" i="11"/>
  <c r="E180" i="11"/>
  <c r="F180" i="11"/>
  <c r="C181" i="11"/>
  <c r="D181" i="11"/>
  <c r="E181" i="11"/>
  <c r="F181" i="11"/>
  <c r="G181" i="11"/>
  <c r="J181" i="11"/>
  <c r="K181" i="11"/>
  <c r="C182" i="11"/>
  <c r="D182" i="11"/>
  <c r="E182" i="11"/>
  <c r="F182" i="11"/>
  <c r="J182" i="11"/>
  <c r="C183" i="11"/>
  <c r="D183" i="11"/>
  <c r="E183" i="11"/>
  <c r="F183" i="11"/>
  <c r="J183" i="11"/>
  <c r="C184" i="11"/>
  <c r="D184" i="11"/>
  <c r="E184" i="11"/>
  <c r="F184" i="11"/>
  <c r="C185" i="11"/>
  <c r="D185" i="11"/>
  <c r="E185" i="11"/>
  <c r="F185" i="11"/>
  <c r="C186" i="11"/>
  <c r="D186" i="11"/>
  <c r="E186" i="11"/>
  <c r="F186" i="11"/>
  <c r="J186" i="11"/>
  <c r="J185" i="11"/>
  <c r="J184" i="11"/>
  <c r="C187" i="11"/>
  <c r="D187" i="11"/>
  <c r="E187" i="11"/>
  <c r="F187" i="11"/>
  <c r="J187" i="11"/>
  <c r="C188" i="11"/>
  <c r="D188" i="11"/>
  <c r="E188" i="11"/>
  <c r="F188" i="11"/>
  <c r="J163" i="11"/>
  <c r="J164" i="11"/>
  <c r="J165" i="11"/>
  <c r="J166" i="11"/>
  <c r="J167" i="11"/>
  <c r="J170" i="11"/>
  <c r="J171" i="11"/>
  <c r="J172" i="11"/>
  <c r="J176" i="11"/>
  <c r="J180" i="11"/>
  <c r="J188" i="11"/>
  <c r="J189" i="11"/>
  <c r="J190" i="11"/>
  <c r="J191" i="11"/>
  <c r="J192" i="11"/>
  <c r="J193" i="11"/>
  <c r="J194" i="11"/>
  <c r="J196" i="11"/>
  <c r="J198" i="11"/>
  <c r="C194" i="11"/>
  <c r="D194" i="11"/>
  <c r="F194" i="11"/>
  <c r="E194" i="11"/>
  <c r="G194" i="11"/>
  <c r="K194" i="11"/>
  <c r="C193" i="11"/>
  <c r="D193" i="11"/>
  <c r="F193" i="11"/>
  <c r="E193" i="11"/>
  <c r="C190" i="11"/>
  <c r="D190" i="11"/>
  <c r="F190" i="11"/>
  <c r="E190" i="11"/>
  <c r="C189" i="11"/>
  <c r="D189" i="11"/>
  <c r="F189" i="11"/>
  <c r="E189" i="11"/>
  <c r="J157" i="11"/>
  <c r="J158" i="11"/>
  <c r="C158" i="11"/>
  <c r="D158" i="11"/>
  <c r="F158" i="11"/>
  <c r="E158" i="11"/>
  <c r="J159" i="11"/>
  <c r="J150" i="11"/>
  <c r="J151" i="11"/>
  <c r="J152" i="11"/>
  <c r="J153" i="11"/>
  <c r="J154" i="11"/>
  <c r="J155" i="11"/>
  <c r="J156" i="11"/>
  <c r="J149" i="11"/>
  <c r="J148" i="11"/>
  <c r="J147" i="11"/>
  <c r="J146" i="11"/>
  <c r="J145" i="11"/>
  <c r="C156" i="11"/>
  <c r="D156" i="11"/>
  <c r="F156" i="11"/>
  <c r="E156" i="11"/>
  <c r="C155" i="11"/>
  <c r="D155" i="11"/>
  <c r="F155" i="11"/>
  <c r="E155" i="11"/>
  <c r="C154" i="11"/>
  <c r="D154" i="11"/>
  <c r="F154" i="11"/>
  <c r="E154" i="11"/>
  <c r="C153" i="11"/>
  <c r="D153" i="11"/>
  <c r="F153" i="11"/>
  <c r="E153" i="11"/>
  <c r="C152" i="11"/>
  <c r="D152" i="11"/>
  <c r="F152" i="11"/>
  <c r="E152" i="11"/>
  <c r="G152" i="11"/>
  <c r="K152" i="11"/>
  <c r="C151" i="11"/>
  <c r="D151" i="11"/>
  <c r="F151" i="11"/>
  <c r="E151" i="11"/>
  <c r="C148" i="11"/>
  <c r="D148" i="11"/>
  <c r="F148" i="11"/>
  <c r="E148" i="11"/>
  <c r="C147" i="11"/>
  <c r="D147" i="11"/>
  <c r="F147" i="11"/>
  <c r="E147" i="11"/>
  <c r="C146" i="11"/>
  <c r="D146" i="11"/>
  <c r="F146" i="11"/>
  <c r="E146" i="11"/>
  <c r="J144" i="11"/>
  <c r="J143" i="11"/>
  <c r="J142" i="11"/>
  <c r="C144" i="11"/>
  <c r="D144" i="11"/>
  <c r="F144" i="11"/>
  <c r="E144" i="11"/>
  <c r="C145" i="11"/>
  <c r="D145" i="11"/>
  <c r="E145" i="11"/>
  <c r="F145" i="11"/>
  <c r="F143" i="11"/>
  <c r="E143" i="11"/>
  <c r="D143" i="11"/>
  <c r="C143" i="11"/>
  <c r="F142" i="11"/>
  <c r="E142" i="11"/>
  <c r="D142" i="11"/>
  <c r="C142" i="11"/>
  <c r="F136" i="11"/>
  <c r="E136" i="11"/>
  <c r="D136" i="11"/>
  <c r="C136" i="11"/>
  <c r="F135" i="11"/>
  <c r="E135" i="11"/>
  <c r="D135" i="11"/>
  <c r="C135" i="11"/>
  <c r="J131" i="11"/>
  <c r="J130" i="11"/>
  <c r="J129" i="11"/>
  <c r="J128" i="11"/>
  <c r="C130" i="11"/>
  <c r="D130" i="11"/>
  <c r="F130" i="11"/>
  <c r="E130" i="11"/>
  <c r="J134" i="11"/>
  <c r="J135" i="11"/>
  <c r="J136" i="11"/>
  <c r="J137" i="11"/>
  <c r="C137" i="11"/>
  <c r="D137" i="11"/>
  <c r="F137" i="11"/>
  <c r="E137" i="11"/>
  <c r="J138" i="11"/>
  <c r="J139" i="11"/>
  <c r="J140" i="11"/>
  <c r="J141" i="11"/>
  <c r="C141" i="11"/>
  <c r="D141" i="11"/>
  <c r="F141" i="11"/>
  <c r="E141" i="11"/>
  <c r="G141" i="11"/>
  <c r="K141" i="11"/>
  <c r="C140" i="11"/>
  <c r="D140" i="11"/>
  <c r="E140" i="11"/>
  <c r="F140" i="11"/>
  <c r="C139" i="11"/>
  <c r="D139" i="11"/>
  <c r="E139" i="11"/>
  <c r="F139" i="11"/>
  <c r="C138" i="11"/>
  <c r="D138" i="11"/>
  <c r="E138" i="11"/>
  <c r="F138" i="11"/>
  <c r="G138" i="11"/>
  <c r="K138" i="11"/>
  <c r="D30" i="2"/>
  <c r="E30" i="2"/>
  <c r="F30" i="2"/>
  <c r="G30" i="2"/>
  <c r="H30" i="2"/>
  <c r="I30" i="2"/>
  <c r="J30" i="2"/>
  <c r="K30" i="2"/>
  <c r="L30" i="2"/>
  <c r="M30" i="2"/>
  <c r="M31" i="2"/>
  <c r="M33" i="2"/>
  <c r="N30" i="2"/>
  <c r="N31" i="2"/>
  <c r="N33" i="2"/>
  <c r="L33" i="2"/>
  <c r="C134" i="11"/>
  <c r="D134" i="11"/>
  <c r="E134" i="11"/>
  <c r="F134" i="11"/>
  <c r="J133" i="11"/>
  <c r="J132" i="11"/>
  <c r="F129" i="11"/>
  <c r="E129" i="11"/>
  <c r="D129" i="11"/>
  <c r="C129" i="11"/>
  <c r="F128" i="11"/>
  <c r="E128" i="11"/>
  <c r="D128" i="11"/>
  <c r="C128" i="11"/>
  <c r="J127" i="11"/>
  <c r="J126" i="11"/>
  <c r="J125" i="11"/>
  <c r="C133" i="11"/>
  <c r="D133" i="11"/>
  <c r="F133" i="11"/>
  <c r="E133" i="11"/>
  <c r="G133" i="11"/>
  <c r="K133" i="11"/>
  <c r="C132" i="11"/>
  <c r="D132" i="11"/>
  <c r="E132" i="11"/>
  <c r="F132" i="11"/>
  <c r="C131" i="11"/>
  <c r="D131" i="11"/>
  <c r="E131" i="11"/>
  <c r="F131" i="11"/>
  <c r="C127" i="11"/>
  <c r="D127" i="11"/>
  <c r="F127" i="11"/>
  <c r="E127" i="11"/>
  <c r="G127" i="11"/>
  <c r="K127" i="11"/>
  <c r="C126" i="11"/>
  <c r="D126" i="11"/>
  <c r="E126" i="11"/>
  <c r="F126" i="11"/>
  <c r="C125" i="11"/>
  <c r="D125" i="11"/>
  <c r="E125" i="11"/>
  <c r="F125" i="11"/>
  <c r="I122" i="11"/>
  <c r="J122" i="11"/>
  <c r="J119" i="11"/>
  <c r="J120" i="11"/>
  <c r="J121" i="11"/>
  <c r="J123" i="11"/>
  <c r="J124" i="11"/>
  <c r="C124" i="11"/>
  <c r="D124" i="11"/>
  <c r="E124" i="11"/>
  <c r="F124" i="11"/>
  <c r="C121" i="11"/>
  <c r="D121" i="11"/>
  <c r="F121" i="11"/>
  <c r="E121" i="11"/>
  <c r="C122" i="11"/>
  <c r="D122" i="11"/>
  <c r="E122" i="11"/>
  <c r="F122" i="11"/>
  <c r="C123" i="11"/>
  <c r="D123" i="11"/>
  <c r="E123" i="11"/>
  <c r="F123" i="11"/>
  <c r="C120" i="11"/>
  <c r="D120" i="11"/>
  <c r="F120" i="11"/>
  <c r="E120" i="11"/>
  <c r="J117" i="11"/>
  <c r="J118" i="11"/>
  <c r="C119" i="11"/>
  <c r="D119" i="11"/>
  <c r="F119" i="11"/>
  <c r="E119" i="11"/>
  <c r="C118" i="11"/>
  <c r="D118" i="11"/>
  <c r="F118" i="11"/>
  <c r="E118" i="11"/>
  <c r="J116" i="11"/>
  <c r="I115" i="11"/>
  <c r="J115" i="11"/>
  <c r="J114" i="11"/>
  <c r="J113" i="11"/>
  <c r="C116" i="11"/>
  <c r="D116" i="11"/>
  <c r="F116" i="11"/>
  <c r="E116" i="11"/>
  <c r="J112" i="11"/>
  <c r="C117" i="11"/>
  <c r="D117" i="11"/>
  <c r="E117" i="11"/>
  <c r="F117" i="11"/>
  <c r="C113" i="11"/>
  <c r="D113" i="11"/>
  <c r="F113" i="11"/>
  <c r="E113" i="11"/>
  <c r="G113" i="11"/>
  <c r="C114" i="11"/>
  <c r="D114" i="11"/>
  <c r="E114" i="11"/>
  <c r="F114" i="11"/>
  <c r="C115" i="11"/>
  <c r="D115" i="11"/>
  <c r="E115" i="11"/>
  <c r="F115" i="11"/>
  <c r="J111" i="11"/>
  <c r="C112" i="11"/>
  <c r="D112" i="11"/>
  <c r="E112" i="11"/>
  <c r="F112" i="11"/>
  <c r="C111" i="11"/>
  <c r="D111" i="11"/>
  <c r="E111" i="11"/>
  <c r="F111" i="11"/>
  <c r="J110" i="11"/>
  <c r="C110" i="11"/>
  <c r="D110" i="11"/>
  <c r="E110" i="11"/>
  <c r="F110" i="11"/>
  <c r="J109" i="11"/>
  <c r="J108" i="11"/>
  <c r="J107" i="11"/>
  <c r="J106" i="11"/>
  <c r="C109" i="11"/>
  <c r="D109" i="11"/>
  <c r="E109" i="11"/>
  <c r="F109" i="11"/>
  <c r="C106" i="11"/>
  <c r="D106" i="11"/>
  <c r="F106" i="11"/>
  <c r="E106" i="11"/>
  <c r="J105" i="11"/>
  <c r="J104" i="11"/>
  <c r="J103" i="11"/>
  <c r="C105" i="11"/>
  <c r="D105" i="11"/>
  <c r="F105" i="11"/>
  <c r="E105" i="11"/>
  <c r="C104" i="11"/>
  <c r="D104" i="11"/>
  <c r="E104" i="11"/>
  <c r="F104" i="11"/>
  <c r="D85" i="11"/>
  <c r="D86" i="11"/>
  <c r="D87" i="11"/>
  <c r="D88" i="11"/>
  <c r="D89" i="11"/>
  <c r="D90" i="11"/>
  <c r="D91" i="11"/>
  <c r="D92" i="11"/>
  <c r="C92" i="11"/>
  <c r="F92" i="11"/>
  <c r="E92" i="11"/>
  <c r="G92" i="11"/>
  <c r="J92" i="11"/>
  <c r="K92" i="11"/>
  <c r="D93" i="11"/>
  <c r="D94" i="11"/>
  <c r="D95" i="11"/>
  <c r="D96" i="11"/>
  <c r="D97" i="11"/>
  <c r="D98" i="11"/>
  <c r="D99" i="11"/>
  <c r="D100" i="11"/>
  <c r="F100" i="11"/>
  <c r="E100" i="11"/>
  <c r="G100" i="11"/>
  <c r="D101" i="11"/>
  <c r="D102" i="11"/>
  <c r="D103" i="11"/>
  <c r="C103" i="11"/>
  <c r="E103" i="11"/>
  <c r="F103" i="11"/>
  <c r="J102" i="11"/>
  <c r="I101" i="11"/>
  <c r="J101" i="11"/>
  <c r="J100" i="11"/>
  <c r="E101" i="11"/>
  <c r="F101" i="11"/>
  <c r="D67" i="11"/>
  <c r="D68" i="11"/>
  <c r="D69" i="11"/>
  <c r="D70" i="11"/>
  <c r="D71" i="11"/>
  <c r="D72" i="11"/>
  <c r="D73" i="11"/>
  <c r="D74" i="11"/>
  <c r="D75" i="11"/>
  <c r="D76" i="11"/>
  <c r="D77" i="11"/>
  <c r="C77" i="11"/>
  <c r="F77" i="11"/>
  <c r="E77" i="11"/>
  <c r="J77" i="11"/>
  <c r="D78" i="11"/>
  <c r="D79" i="11"/>
  <c r="D80" i="11"/>
  <c r="D81" i="11"/>
  <c r="C81" i="11"/>
  <c r="F81" i="11"/>
  <c r="E81" i="11"/>
  <c r="D82" i="11"/>
  <c r="D83" i="11"/>
  <c r="D84" i="11"/>
  <c r="D66" i="11"/>
  <c r="E79" i="11"/>
  <c r="F79" i="11"/>
  <c r="E80" i="11"/>
  <c r="F80" i="11"/>
  <c r="E82" i="11"/>
  <c r="F82" i="11"/>
  <c r="C82" i="11"/>
  <c r="J82" i="11"/>
  <c r="E83" i="11"/>
  <c r="F83" i="11"/>
  <c r="E84" i="11"/>
  <c r="F84" i="11"/>
  <c r="C84" i="11"/>
  <c r="G84" i="11"/>
  <c r="J84" i="11"/>
  <c r="E85" i="11"/>
  <c r="F85" i="11"/>
  <c r="E86" i="11"/>
  <c r="F86" i="11"/>
  <c r="E87" i="11"/>
  <c r="F87" i="11"/>
  <c r="E88" i="11"/>
  <c r="F88" i="11"/>
  <c r="C88" i="11"/>
  <c r="J86" i="11"/>
  <c r="I87" i="11"/>
  <c r="J87" i="11"/>
  <c r="J88" i="11"/>
  <c r="E89" i="11"/>
  <c r="F89" i="11"/>
  <c r="E90" i="11"/>
  <c r="F90" i="11"/>
  <c r="C90" i="11"/>
  <c r="J90" i="11"/>
  <c r="E91" i="11"/>
  <c r="F91" i="11"/>
  <c r="E93" i="11"/>
  <c r="F93" i="11"/>
  <c r="E94" i="11"/>
  <c r="F94" i="11"/>
  <c r="C102" i="11"/>
  <c r="E102" i="11"/>
  <c r="F102" i="11"/>
  <c r="J97" i="11"/>
  <c r="J98" i="11"/>
  <c r="J99" i="11"/>
  <c r="C99" i="11"/>
  <c r="E99" i="11"/>
  <c r="F99" i="11"/>
  <c r="G99" i="11"/>
  <c r="J96" i="11"/>
  <c r="C98" i="11"/>
  <c r="E98" i="11"/>
  <c r="F98" i="11"/>
  <c r="G98" i="11"/>
  <c r="K98" i="11"/>
  <c r="C97" i="11"/>
  <c r="E97" i="11"/>
  <c r="F97" i="11"/>
  <c r="J93" i="11"/>
  <c r="J95" i="11"/>
  <c r="J91" i="11"/>
  <c r="I94" i="11"/>
  <c r="J94" i="11"/>
  <c r="C96" i="11"/>
  <c r="E96" i="11"/>
  <c r="F96" i="11"/>
  <c r="C95" i="11"/>
  <c r="E95" i="11"/>
  <c r="F95" i="11"/>
  <c r="C91" i="11"/>
  <c r="J89" i="11"/>
  <c r="C89" i="11"/>
  <c r="J85" i="11"/>
  <c r="J83" i="11"/>
  <c r="C85" i="11"/>
  <c r="C83" i="11"/>
  <c r="J81" i="11"/>
  <c r="J79" i="11"/>
  <c r="I80" i="11"/>
  <c r="J80" i="11"/>
  <c r="J78" i="11"/>
  <c r="C78" i="11"/>
  <c r="E78" i="11"/>
  <c r="F78" i="11"/>
  <c r="J76" i="11"/>
  <c r="C76" i="11"/>
  <c r="E76" i="11"/>
  <c r="F76" i="11"/>
  <c r="J75" i="11"/>
  <c r="J74" i="11"/>
  <c r="C75" i="11"/>
  <c r="E75" i="11"/>
  <c r="F75" i="11"/>
  <c r="J72" i="11"/>
  <c r="J73" i="11"/>
  <c r="J71" i="11"/>
  <c r="C74" i="11"/>
  <c r="E74" i="11"/>
  <c r="F74" i="11"/>
  <c r="J70" i="11"/>
  <c r="C71" i="11"/>
  <c r="E71" i="11"/>
  <c r="F71" i="11"/>
  <c r="J69" i="11"/>
  <c r="C70" i="11"/>
  <c r="F70" i="11"/>
  <c r="E70" i="11"/>
  <c r="J68" i="11"/>
  <c r="C69" i="11"/>
  <c r="E69" i="11"/>
  <c r="F69" i="11"/>
  <c r="J67" i="11"/>
  <c r="I66" i="11"/>
  <c r="J66" i="11"/>
  <c r="D64" i="11"/>
  <c r="D63" i="11"/>
  <c r="D62" i="11"/>
  <c r="D61" i="11"/>
  <c r="D60" i="11"/>
  <c r="C68" i="11"/>
  <c r="E68" i="11"/>
  <c r="F68" i="11"/>
  <c r="P57" i="11"/>
  <c r="D56" i="11"/>
  <c r="J65" i="11"/>
  <c r="J64" i="11"/>
  <c r="C67" i="11"/>
  <c r="F67" i="11"/>
  <c r="E67" i="11"/>
  <c r="J63" i="11"/>
  <c r="C63" i="11"/>
  <c r="F63" i="11"/>
  <c r="E63" i="11"/>
  <c r="C64" i="11"/>
  <c r="F64" i="11"/>
  <c r="E64" i="11"/>
  <c r="J62" i="11"/>
  <c r="J61" i="11"/>
  <c r="C62" i="11"/>
  <c r="E62" i="11"/>
  <c r="F62" i="11"/>
  <c r="J58" i="11"/>
  <c r="J60" i="11"/>
  <c r="J57" i="11"/>
  <c r="I59" i="11"/>
  <c r="J59" i="11"/>
  <c r="C61" i="11"/>
  <c r="F61" i="11"/>
  <c r="E61" i="11"/>
  <c r="C60" i="11"/>
  <c r="E60" i="11"/>
  <c r="F60" i="11"/>
  <c r="J56" i="11"/>
  <c r="C57" i="11"/>
  <c r="F57" i="11"/>
  <c r="E57" i="11"/>
  <c r="J55" i="11"/>
  <c r="C56" i="11"/>
  <c r="E56" i="11"/>
  <c r="F56" i="11"/>
  <c r="J53" i="11"/>
  <c r="J54" i="11"/>
  <c r="J51" i="11"/>
  <c r="I52" i="11"/>
  <c r="J52" i="11"/>
  <c r="C55" i="11"/>
  <c r="D55" i="11"/>
  <c r="E55" i="11"/>
  <c r="F55" i="11"/>
  <c r="C54" i="11"/>
  <c r="D54" i="11"/>
  <c r="F54" i="11"/>
  <c r="E54" i="11"/>
  <c r="C53" i="11"/>
  <c r="D53" i="11"/>
  <c r="E53" i="11"/>
  <c r="F53" i="11"/>
  <c r="C6" i="11"/>
  <c r="C7" i="11"/>
  <c r="C8" i="11"/>
  <c r="J8" i="11"/>
  <c r="C9" i="11"/>
  <c r="C10" i="11"/>
  <c r="J10" i="11"/>
  <c r="J11" i="11"/>
  <c r="C11" i="11"/>
  <c r="K11" i="11"/>
  <c r="C12" i="11"/>
  <c r="J12" i="11"/>
  <c r="C13" i="11"/>
  <c r="C14" i="11"/>
  <c r="C15" i="11"/>
  <c r="C16" i="11"/>
  <c r="C17" i="11"/>
  <c r="C18" i="11"/>
  <c r="J17" i="11"/>
  <c r="J18" i="11"/>
  <c r="J16" i="11"/>
  <c r="C19" i="11"/>
  <c r="C20" i="11"/>
  <c r="J20" i="11"/>
  <c r="C21" i="11"/>
  <c r="J21" i="11"/>
  <c r="C22" i="11"/>
  <c r="J22" i="11"/>
  <c r="J50" i="11"/>
  <c r="J49" i="11"/>
  <c r="J23" i="11"/>
  <c r="J24" i="11"/>
  <c r="J25" i="11"/>
  <c r="J26" i="11"/>
  <c r="C26" i="11"/>
  <c r="D26" i="11"/>
  <c r="F26" i="11"/>
  <c r="E26" i="11"/>
  <c r="J27" i="11"/>
  <c r="J28" i="11"/>
  <c r="J29" i="11"/>
  <c r="J30" i="11"/>
  <c r="J31" i="11"/>
  <c r="J32" i="11"/>
  <c r="J33" i="11"/>
  <c r="J34" i="11"/>
  <c r="J35" i="11"/>
  <c r="J36" i="11"/>
  <c r="J37" i="11"/>
  <c r="J39" i="11"/>
  <c r="J40" i="11"/>
  <c r="J41" i="11"/>
  <c r="J42" i="11"/>
  <c r="J43" i="11"/>
  <c r="C43" i="11"/>
  <c r="D43" i="11"/>
  <c r="F43" i="11"/>
  <c r="E43" i="11"/>
  <c r="J44" i="11"/>
  <c r="J45" i="11"/>
  <c r="J46" i="11"/>
  <c r="J47" i="11"/>
  <c r="C47" i="11"/>
  <c r="D47" i="11"/>
  <c r="F47" i="11"/>
  <c r="E47" i="11"/>
  <c r="J48" i="11"/>
  <c r="J6" i="11"/>
  <c r="J7" i="11"/>
  <c r="K7" i="11"/>
  <c r="J9" i="11"/>
  <c r="J13" i="11"/>
  <c r="K13" i="11"/>
  <c r="J14" i="11"/>
  <c r="J15" i="11"/>
  <c r="J19" i="11"/>
  <c r="K19" i="11"/>
  <c r="J5" i="11"/>
  <c r="D50" i="11"/>
  <c r="E50" i="11"/>
  <c r="F50" i="11"/>
  <c r="X50" i="11"/>
  <c r="D49" i="11"/>
  <c r="E49" i="11"/>
  <c r="F49" i="11"/>
  <c r="C48" i="11"/>
  <c r="D48" i="11"/>
  <c r="E48" i="11"/>
  <c r="F48" i="11"/>
  <c r="C46" i="11"/>
  <c r="D46" i="11"/>
  <c r="F46" i="11"/>
  <c r="E46" i="11"/>
  <c r="C44" i="11"/>
  <c r="D44" i="11"/>
  <c r="F44" i="11"/>
  <c r="E44" i="11"/>
  <c r="D40" i="11"/>
  <c r="D41" i="11"/>
  <c r="D42" i="11"/>
  <c r="C42" i="11"/>
  <c r="E42" i="11"/>
  <c r="F42" i="11"/>
  <c r="K31" i="2"/>
  <c r="K33" i="2"/>
  <c r="E31" i="2"/>
  <c r="E33" i="2"/>
  <c r="F31" i="2"/>
  <c r="F33" i="2"/>
  <c r="G31" i="2"/>
  <c r="G33" i="2"/>
  <c r="H31" i="2"/>
  <c r="H33" i="2"/>
  <c r="I31" i="2"/>
  <c r="I33" i="2"/>
  <c r="J31" i="2"/>
  <c r="J33" i="2"/>
  <c r="D31" i="2"/>
  <c r="D33" i="2"/>
  <c r="D22" i="2"/>
  <c r="F4" i="2"/>
  <c r="F5" i="2"/>
  <c r="F6" i="2"/>
  <c r="F3" i="2"/>
  <c r="F13" i="2"/>
  <c r="E4" i="2"/>
  <c r="E5" i="2"/>
  <c r="E6" i="2"/>
  <c r="E3" i="2"/>
  <c r="E13" i="2"/>
  <c r="D4" i="2"/>
  <c r="D5" i="2"/>
  <c r="D6" i="2"/>
  <c r="D3" i="2"/>
  <c r="D13" i="2"/>
  <c r="C41" i="11"/>
  <c r="E41" i="11"/>
  <c r="F41" i="11"/>
  <c r="D36" i="11"/>
  <c r="I38" i="11"/>
  <c r="J38" i="11"/>
  <c r="C40" i="11"/>
  <c r="E40" i="11"/>
  <c r="F40" i="11"/>
  <c r="C39" i="11"/>
  <c r="D39" i="11"/>
  <c r="E39" i="11"/>
  <c r="F39" i="11"/>
  <c r="C37" i="11"/>
  <c r="D37" i="11"/>
  <c r="F37" i="11"/>
  <c r="E37" i="11"/>
  <c r="C36" i="11"/>
  <c r="E36" i="11"/>
  <c r="F36" i="11"/>
  <c r="C35" i="11"/>
  <c r="D35" i="11"/>
  <c r="F35" i="11"/>
  <c r="E35" i="11"/>
  <c r="G35" i="11"/>
  <c r="K35" i="11"/>
  <c r="C34" i="11"/>
  <c r="D34" i="11"/>
  <c r="E34" i="11"/>
  <c r="F34" i="11"/>
  <c r="G3" i="2"/>
  <c r="H3" i="2"/>
  <c r="L3" i="2"/>
  <c r="L13" i="2"/>
  <c r="M3" i="2"/>
  <c r="M13" i="2"/>
  <c r="N3" i="2"/>
  <c r="Z3" i="2"/>
  <c r="O3" i="2"/>
  <c r="O13" i="2"/>
  <c r="O22" i="2"/>
  <c r="O26" i="2"/>
  <c r="G4" i="2"/>
  <c r="H4" i="2"/>
  <c r="I4" i="2"/>
  <c r="J4" i="2"/>
  <c r="K4" i="2"/>
  <c r="P4" i="2"/>
  <c r="Q4" i="2"/>
  <c r="R4" i="2"/>
  <c r="S4" i="2"/>
  <c r="T4" i="2"/>
  <c r="U4" i="2"/>
  <c r="V4" i="2"/>
  <c r="W4" i="2"/>
  <c r="AB4" i="2"/>
  <c r="AC4" i="2"/>
  <c r="AD4" i="2"/>
  <c r="AE4" i="2"/>
  <c r="AF4" i="2"/>
  <c r="AG4" i="2"/>
  <c r="AH4" i="2"/>
  <c r="AI4" i="2"/>
  <c r="AN4" i="2"/>
  <c r="AO4" i="2"/>
  <c r="AP4" i="2"/>
  <c r="AQ4" i="2"/>
  <c r="AR4" i="2"/>
  <c r="AS4" i="2"/>
  <c r="AT4" i="2"/>
  <c r="AU4" i="2"/>
  <c r="AZ4" i="2"/>
  <c r="BA4" i="2"/>
  <c r="BB4" i="2"/>
  <c r="BC4" i="2"/>
  <c r="BD4" i="2"/>
  <c r="BE4" i="2"/>
  <c r="BF4" i="2"/>
  <c r="BG4" i="2"/>
  <c r="L4" i="2"/>
  <c r="M4" i="2"/>
  <c r="N4" i="2"/>
  <c r="O4" i="2"/>
  <c r="G5" i="2"/>
  <c r="H5" i="2"/>
  <c r="I5" i="2"/>
  <c r="J5" i="2"/>
  <c r="K5" i="2"/>
  <c r="P5" i="2"/>
  <c r="Q5" i="2"/>
  <c r="R5" i="2"/>
  <c r="S5" i="2"/>
  <c r="T5" i="2"/>
  <c r="U5" i="2"/>
  <c r="V5" i="2"/>
  <c r="W5" i="2"/>
  <c r="AB5" i="2"/>
  <c r="AC5" i="2"/>
  <c r="AD5" i="2"/>
  <c r="AE5" i="2"/>
  <c r="AF5" i="2"/>
  <c r="AG5" i="2"/>
  <c r="AH5" i="2"/>
  <c r="AI5" i="2"/>
  <c r="AN5" i="2"/>
  <c r="AO5" i="2"/>
  <c r="AP5" i="2"/>
  <c r="AQ5" i="2"/>
  <c r="AR5" i="2"/>
  <c r="AS5" i="2"/>
  <c r="AT5" i="2"/>
  <c r="AU5" i="2"/>
  <c r="AZ5" i="2"/>
  <c r="BA5" i="2"/>
  <c r="BB5" i="2"/>
  <c r="BC5" i="2"/>
  <c r="BD5" i="2"/>
  <c r="BE5" i="2"/>
  <c r="BF5" i="2"/>
  <c r="BG5" i="2"/>
  <c r="BN5" i="2"/>
  <c r="L5" i="2"/>
  <c r="M5" i="2"/>
  <c r="N5" i="2"/>
  <c r="X5" i="2"/>
  <c r="O5" i="2"/>
  <c r="G6" i="2"/>
  <c r="H6" i="2"/>
  <c r="I6" i="2"/>
  <c r="J6" i="2"/>
  <c r="K6" i="2"/>
  <c r="P6" i="2"/>
  <c r="Q6" i="2"/>
  <c r="R6" i="2"/>
  <c r="S6" i="2"/>
  <c r="T6" i="2"/>
  <c r="U6" i="2"/>
  <c r="V6" i="2"/>
  <c r="W6" i="2"/>
  <c r="AB6" i="2"/>
  <c r="AC6" i="2"/>
  <c r="AD6" i="2"/>
  <c r="AE6" i="2"/>
  <c r="AF6" i="2"/>
  <c r="AG6" i="2"/>
  <c r="AH6" i="2"/>
  <c r="AI6" i="2"/>
  <c r="AN6" i="2"/>
  <c r="AO6" i="2"/>
  <c r="AP6" i="2"/>
  <c r="AQ6" i="2"/>
  <c r="AR6" i="2"/>
  <c r="AS6" i="2"/>
  <c r="AT6" i="2"/>
  <c r="AU6" i="2"/>
  <c r="AZ6" i="2"/>
  <c r="BA6" i="2"/>
  <c r="BB6" i="2"/>
  <c r="BC6" i="2"/>
  <c r="BD6" i="2"/>
  <c r="BE6" i="2"/>
  <c r="BF6" i="2"/>
  <c r="BG6" i="2"/>
  <c r="BN6" i="2"/>
  <c r="L6" i="2"/>
  <c r="M6" i="2"/>
  <c r="N6" i="2"/>
  <c r="O6" i="2"/>
  <c r="G22" i="2"/>
  <c r="X16" i="2"/>
  <c r="X22" i="2"/>
  <c r="C23" i="11"/>
  <c r="C24" i="11"/>
  <c r="C25" i="11"/>
  <c r="D25" i="11"/>
  <c r="E25" i="11"/>
  <c r="F25" i="11"/>
  <c r="G25" i="11"/>
  <c r="C27" i="11"/>
  <c r="D27" i="11"/>
  <c r="E27" i="11"/>
  <c r="F27" i="11"/>
  <c r="C28" i="11"/>
  <c r="D28" i="11"/>
  <c r="E28" i="11"/>
  <c r="F28" i="11"/>
  <c r="C29" i="11"/>
  <c r="D29" i="11"/>
  <c r="E29" i="11"/>
  <c r="F29" i="11"/>
  <c r="AI4" i="30"/>
  <c r="AJ4" i="30"/>
  <c r="Z2" i="30"/>
  <c r="F22" i="2"/>
  <c r="Z13" i="2"/>
  <c r="N22" i="2"/>
  <c r="X6" i="2"/>
  <c r="Y6" i="2"/>
  <c r="AA6" i="2"/>
  <c r="H22" i="2"/>
  <c r="E22" i="2"/>
  <c r="Z6" i="2"/>
  <c r="AA22" i="2"/>
  <c r="AA3" i="2"/>
  <c r="AA13" i="2"/>
  <c r="AA4" i="2"/>
  <c r="AA5" i="2"/>
  <c r="Y3" i="2"/>
  <c r="Y13" i="2"/>
  <c r="Y4" i="2"/>
  <c r="Y5" i="2"/>
  <c r="I22" i="2"/>
  <c r="J22" i="2"/>
  <c r="K22" i="2"/>
  <c r="P22" i="2"/>
  <c r="Y22" i="2"/>
  <c r="Q22" i="2"/>
  <c r="R22" i="2"/>
  <c r="Z22" i="2"/>
  <c r="Z26" i="2"/>
  <c r="M22" i="2"/>
  <c r="L22" i="2"/>
  <c r="S22" i="2"/>
  <c r="T22" i="2"/>
  <c r="V16" i="2"/>
  <c r="W16" i="2"/>
  <c r="W22" i="2"/>
  <c r="U22" i="2"/>
  <c r="V22" i="2"/>
  <c r="AB22" i="2"/>
  <c r="AJ2" i="30"/>
  <c r="AD16" i="2"/>
  <c r="AD22" i="2"/>
  <c r="AD26" i="2"/>
  <c r="AC22" i="2"/>
  <c r="AC26" i="2"/>
  <c r="AA26" i="2"/>
  <c r="AP16" i="2"/>
  <c r="AP22" i="2"/>
  <c r="AP26" i="2"/>
  <c r="Q4" i="30"/>
  <c r="R4" i="30"/>
  <c r="BB16" i="2"/>
  <c r="BB22" i="2"/>
  <c r="Q6" i="30"/>
  <c r="R6" i="30"/>
  <c r="Q8" i="30"/>
  <c r="R8" i="30"/>
  <c r="F26" i="2"/>
  <c r="T32" i="2"/>
  <c r="T33" i="2"/>
  <c r="Z3" i="30"/>
  <c r="AA3" i="30"/>
  <c r="Z11" i="30"/>
  <c r="AA11" i="30"/>
  <c r="Q12" i="30"/>
  <c r="R12" i="30"/>
  <c r="X32" i="2"/>
  <c r="I3" i="2"/>
  <c r="H13" i="2"/>
  <c r="H26" i="2"/>
  <c r="AA32" i="2"/>
  <c r="AA33" i="2"/>
  <c r="W32" i="2"/>
  <c r="W33" i="2"/>
  <c r="V32" i="2"/>
  <c r="V33" i="2"/>
  <c r="M26" i="2"/>
  <c r="Y26" i="2"/>
  <c r="G13" i="2"/>
  <c r="G26" i="2"/>
  <c r="S32" i="2"/>
  <c r="S33" i="2"/>
  <c r="AD32" i="2"/>
  <c r="AD33" i="2"/>
  <c r="L26" i="2"/>
  <c r="AA2" i="30"/>
  <c r="Z4" i="2"/>
  <c r="X4" i="2"/>
  <c r="AJ3" i="30"/>
  <c r="D26" i="2"/>
  <c r="E26" i="2"/>
  <c r="AI10" i="30"/>
  <c r="AJ10" i="30"/>
  <c r="AI12" i="30"/>
  <c r="AJ12" i="30"/>
  <c r="Z7" i="30"/>
  <c r="AA7" i="30"/>
  <c r="AG33" i="2"/>
  <c r="Q2" i="30"/>
  <c r="AH33" i="2"/>
  <c r="Z12" i="30"/>
  <c r="AA12" i="30"/>
  <c r="AI7" i="30"/>
  <c r="AJ7" i="30"/>
  <c r="AI9" i="30"/>
  <c r="AJ9" i="30"/>
  <c r="AI11" i="30"/>
  <c r="AJ11" i="30"/>
  <c r="Z6" i="30"/>
  <c r="AA6" i="30"/>
  <c r="D16" i="30"/>
  <c r="H12" i="30"/>
  <c r="I12" i="30"/>
  <c r="I2" i="30"/>
  <c r="I3" i="30"/>
  <c r="AU16" i="2"/>
  <c r="AU22" i="2"/>
  <c r="C764" i="11"/>
  <c r="AB32" i="2"/>
  <c r="Y32" i="2"/>
  <c r="Y33" i="2"/>
  <c r="Z32" i="2"/>
  <c r="Z33" i="2"/>
  <c r="X3" i="2"/>
  <c r="X13" i="2"/>
  <c r="X26" i="2"/>
  <c r="AI8" i="30"/>
  <c r="Z5" i="2"/>
  <c r="AB33" i="2"/>
  <c r="X33" i="2"/>
  <c r="AK6" i="2"/>
  <c r="AL6" i="2"/>
  <c r="AM6" i="2"/>
  <c r="AJ6" i="2"/>
  <c r="AK4" i="2"/>
  <c r="AL4" i="2"/>
  <c r="AM4" i="2"/>
  <c r="AJ4" i="2"/>
  <c r="R2" i="30"/>
  <c r="Q14" i="30"/>
  <c r="R14" i="30"/>
  <c r="U32" i="2"/>
  <c r="U33" i="2"/>
  <c r="C33" i="2"/>
  <c r="R32" i="2"/>
  <c r="R33" i="2"/>
  <c r="N13" i="2"/>
  <c r="N26" i="2"/>
  <c r="AK3" i="2"/>
  <c r="AK13" i="2"/>
  <c r="AK26" i="2"/>
  <c r="AJ3" i="2"/>
  <c r="AJ13" i="2"/>
  <c r="AJ26" i="2"/>
  <c r="AM3" i="2"/>
  <c r="AM13" i="2"/>
  <c r="AM26" i="2"/>
  <c r="AL3" i="2"/>
  <c r="AX3" i="2"/>
  <c r="AH22" i="2"/>
  <c r="Q15" i="30"/>
  <c r="BK3" i="2"/>
  <c r="BK13" i="2"/>
  <c r="BK26" i="2"/>
  <c r="BJ3" i="2"/>
  <c r="BJ13" i="2"/>
  <c r="BJ26" i="2"/>
  <c r="BI3" i="2"/>
  <c r="BI13" i="2"/>
  <c r="BI26" i="2"/>
  <c r="AX4" i="2"/>
  <c r="AW4" i="2"/>
  <c r="AV4" i="2"/>
  <c r="AY4" i="2"/>
  <c r="AV6" i="2"/>
  <c r="AY6" i="2"/>
  <c r="AX6" i="2"/>
  <c r="AW6" i="2"/>
  <c r="AC32" i="2"/>
  <c r="AC33" i="2"/>
  <c r="Z14" i="30"/>
  <c r="I13" i="2"/>
  <c r="I26" i="2"/>
  <c r="J3" i="2"/>
  <c r="AL13" i="2"/>
  <c r="AL26" i="2"/>
  <c r="AY3" i="2"/>
  <c r="AX13" i="2"/>
  <c r="AX26" i="2"/>
  <c r="AW3" i="2"/>
  <c r="AW13" i="2"/>
  <c r="AW26" i="2"/>
  <c r="AV3" i="2"/>
  <c r="AV13" i="2"/>
  <c r="AV26" i="2"/>
  <c r="H15" i="30"/>
  <c r="H16" i="30"/>
  <c r="H14" i="30"/>
  <c r="I14" i="30"/>
  <c r="AJ8" i="30"/>
  <c r="AI14" i="30"/>
  <c r="AK5" i="2"/>
  <c r="AL5" i="2"/>
  <c r="AM5" i="2"/>
  <c r="AJ5" i="2"/>
  <c r="BH6" i="2"/>
  <c r="BI6" i="2"/>
  <c r="BK6" i="2"/>
  <c r="BJ6" i="2"/>
  <c r="BH4" i="2"/>
  <c r="BK4" i="2"/>
  <c r="BJ4" i="2"/>
  <c r="BI4" i="2"/>
  <c r="AY13" i="2"/>
  <c r="AY26" i="2"/>
  <c r="AA14" i="30"/>
  <c r="Z15" i="30"/>
  <c r="Q16" i="30"/>
  <c r="AW5" i="2"/>
  <c r="AV5" i="2"/>
  <c r="AY5" i="2"/>
  <c r="AX5" i="2"/>
  <c r="J13" i="2"/>
  <c r="J26" i="2"/>
  <c r="K3" i="2"/>
  <c r="AI15" i="30"/>
  <c r="Z16" i="30"/>
  <c r="AJ14" i="30"/>
  <c r="BH5" i="2"/>
  <c r="BI5" i="2"/>
  <c r="BK5" i="2"/>
  <c r="BJ5" i="2"/>
  <c r="K13" i="2"/>
  <c r="K26" i="2"/>
  <c r="P3" i="2"/>
  <c r="Q3" i="2"/>
  <c r="P13" i="2"/>
  <c r="P26" i="2"/>
  <c r="R3" i="2"/>
  <c r="Q13" i="2"/>
  <c r="Q26" i="2"/>
  <c r="R13" i="2"/>
  <c r="R26" i="2"/>
  <c r="S3" i="2"/>
  <c r="T3" i="2"/>
  <c r="S13" i="2"/>
  <c r="S26" i="2"/>
  <c r="T13" i="2"/>
  <c r="T26" i="2"/>
  <c r="U3" i="2"/>
  <c r="U13" i="2"/>
  <c r="U26" i="2"/>
  <c r="V3" i="2"/>
  <c r="V13" i="2"/>
  <c r="V26" i="2"/>
  <c r="W3" i="2"/>
  <c r="AB3" i="2"/>
  <c r="W13" i="2"/>
  <c r="W26" i="2"/>
  <c r="AC3" i="2"/>
  <c r="AD3" i="2"/>
  <c r="AE3" i="2"/>
  <c r="AB13" i="2"/>
  <c r="AB26" i="2"/>
  <c r="AF3" i="2"/>
  <c r="AE13" i="2"/>
  <c r="AE26" i="2"/>
  <c r="AF13" i="2"/>
  <c r="AF26" i="2"/>
  <c r="AG3" i="2"/>
  <c r="AG13" i="2"/>
  <c r="AG26" i="2"/>
  <c r="AH3" i="2"/>
  <c r="AI3" i="2"/>
  <c r="AH13" i="2"/>
  <c r="AH26" i="2"/>
  <c r="AN3" i="2"/>
  <c r="AI13" i="2"/>
  <c r="AI26" i="2"/>
  <c r="AN13" i="2"/>
  <c r="AN26" i="2"/>
  <c r="AO3" i="2"/>
  <c r="AP3" i="2"/>
  <c r="AQ3" i="2"/>
  <c r="AQ13" i="2"/>
  <c r="AQ26" i="2"/>
  <c r="AR3" i="2"/>
  <c r="AS3" i="2"/>
  <c r="AS13" i="2"/>
  <c r="AR13" i="2"/>
  <c r="AR26" i="2"/>
  <c r="AS26" i="2"/>
  <c r="AT3" i="2"/>
  <c r="AU3" i="2"/>
  <c r="AT13" i="2"/>
  <c r="AT26" i="2"/>
  <c r="AZ3" i="2"/>
  <c r="AZ13" i="2"/>
  <c r="AU13" i="2"/>
  <c r="AU26" i="2"/>
  <c r="AZ26" i="2"/>
  <c r="BA3" i="2"/>
  <c r="BB3" i="2"/>
  <c r="BC3" i="2"/>
  <c r="BD3" i="2"/>
  <c r="BB13" i="2"/>
  <c r="BB26" i="2"/>
  <c r="BD13" i="2"/>
  <c r="BD26" i="2"/>
  <c r="BE3" i="2"/>
  <c r="BE13" i="2"/>
  <c r="BE26" i="2"/>
  <c r="BF3" i="2"/>
  <c r="BG3" i="2"/>
  <c r="BF13" i="2"/>
  <c r="BF26" i="2"/>
  <c r="BG13" i="2"/>
  <c r="BG26" i="2"/>
  <c r="BN3" i="2"/>
  <c r="BL13" i="2"/>
  <c r="BL26" i="2"/>
  <c r="BN13" i="2"/>
  <c r="BN26" i="2"/>
  <c r="E614" i="11"/>
  <c r="G1139" i="11"/>
  <c r="K1139" i="11"/>
  <c r="G1156" i="11"/>
  <c r="K1156" i="11"/>
  <c r="G1340" i="11"/>
  <c r="K1340" i="11"/>
  <c r="G1417" i="11"/>
  <c r="K1417" i="11"/>
  <c r="G1855" i="11"/>
  <c r="J1655" i="11"/>
  <c r="F615" i="11"/>
  <c r="C765" i="11"/>
  <c r="D765" i="11"/>
  <c r="D615" i="11"/>
  <c r="G627" i="11"/>
  <c r="K627" i="11"/>
  <c r="G634" i="11"/>
  <c r="K634" i="11"/>
  <c r="G638" i="11"/>
  <c r="K638" i="11"/>
  <c r="G649" i="11"/>
  <c r="K649" i="11"/>
  <c r="G647" i="11"/>
  <c r="G732" i="11"/>
  <c r="K732" i="11"/>
  <c r="G743" i="11"/>
  <c r="G750" i="11"/>
  <c r="G755" i="11"/>
  <c r="K755" i="11"/>
  <c r="G801" i="11"/>
  <c r="K801" i="11"/>
  <c r="G808" i="11"/>
  <c r="K808" i="11"/>
  <c r="G810" i="11"/>
  <c r="K810" i="11"/>
  <c r="G817" i="11"/>
  <c r="K817" i="11"/>
  <c r="G819" i="11"/>
  <c r="K819" i="11"/>
  <c r="G824" i="11"/>
  <c r="K824" i="11"/>
  <c r="G825" i="11"/>
  <c r="K825" i="11"/>
  <c r="G832" i="11"/>
  <c r="K832" i="11"/>
  <c r="G833" i="11"/>
  <c r="K833" i="11"/>
  <c r="G839" i="11"/>
  <c r="K839" i="11"/>
  <c r="G840" i="11"/>
  <c r="K840" i="11"/>
  <c r="G847" i="11"/>
  <c r="K847" i="11"/>
  <c r="G848" i="11"/>
  <c r="K848" i="11"/>
  <c r="G852" i="11"/>
  <c r="K852" i="11"/>
  <c r="G858" i="11"/>
  <c r="K858" i="11"/>
  <c r="G860" i="11"/>
  <c r="K860" i="11"/>
  <c r="G862" i="11"/>
  <c r="K862" i="11"/>
  <c r="G868" i="11"/>
  <c r="K868" i="11"/>
  <c r="G871" i="11"/>
  <c r="K871" i="11"/>
  <c r="G869" i="11"/>
  <c r="K869" i="11"/>
  <c r="G879" i="11"/>
  <c r="G877" i="11"/>
  <c r="K877" i="11"/>
  <c r="G880" i="11"/>
  <c r="G884" i="11"/>
  <c r="K884" i="11"/>
  <c r="G888" i="11"/>
  <c r="K888" i="11"/>
  <c r="G889" i="11"/>
  <c r="K889" i="11"/>
  <c r="G894" i="11"/>
  <c r="K894" i="11"/>
  <c r="G900" i="11"/>
  <c r="K900" i="11"/>
  <c r="G903" i="11"/>
  <c r="G909" i="11"/>
  <c r="K909" i="11"/>
  <c r="G914" i="11"/>
  <c r="K914" i="11"/>
  <c r="G913" i="11"/>
  <c r="K913" i="11"/>
  <c r="K919" i="11"/>
  <c r="K903" i="11"/>
  <c r="G930" i="11"/>
  <c r="K930" i="11"/>
  <c r="G934" i="11"/>
  <c r="K934" i="11"/>
  <c r="G942" i="11"/>
  <c r="K942" i="11"/>
  <c r="G941" i="11"/>
  <c r="K941" i="11"/>
  <c r="G943" i="11"/>
  <c r="K943" i="11"/>
  <c r="G945" i="11"/>
  <c r="K945" i="11"/>
  <c r="G949" i="11"/>
  <c r="G962" i="11"/>
  <c r="K962" i="11"/>
  <c r="G980" i="11"/>
  <c r="K980" i="11"/>
  <c r="G979" i="11"/>
  <c r="K979" i="11"/>
  <c r="G1017" i="11"/>
  <c r="G1020" i="11"/>
  <c r="K1020" i="11"/>
  <c r="G1023" i="11"/>
  <c r="K1023" i="11"/>
  <c r="G1030" i="11"/>
  <c r="K1030" i="11"/>
  <c r="G1031" i="11"/>
  <c r="G1041" i="11"/>
  <c r="K1041" i="11"/>
  <c r="G1044" i="11"/>
  <c r="K1044" i="11"/>
  <c r="G1049" i="11"/>
  <c r="K1049" i="11"/>
  <c r="G1050" i="11"/>
  <c r="K1050" i="11"/>
  <c r="G1057" i="11"/>
  <c r="K1057" i="11"/>
  <c r="G1063" i="11"/>
  <c r="K1063" i="11"/>
  <c r="G1068" i="11"/>
  <c r="K1068" i="11"/>
  <c r="K1076" i="11"/>
  <c r="G1081" i="11"/>
  <c r="K1081" i="11"/>
  <c r="G1084" i="11"/>
  <c r="K1084" i="11"/>
  <c r="G1086" i="11"/>
  <c r="K1086" i="11"/>
  <c r="G1088" i="11"/>
  <c r="K1088" i="11"/>
  <c r="G1087" i="11"/>
  <c r="K1087" i="11"/>
  <c r="G1091" i="11"/>
  <c r="K1091" i="11"/>
  <c r="G1093" i="11"/>
  <c r="K1093" i="11"/>
  <c r="G1097" i="11"/>
  <c r="K1097" i="11"/>
  <c r="G1098" i="11"/>
  <c r="K1098" i="11"/>
  <c r="G1099" i="11"/>
  <c r="K1099" i="11"/>
  <c r="G1104" i="11"/>
  <c r="K1104" i="11"/>
  <c r="G1105" i="11"/>
  <c r="K1105" i="11"/>
  <c r="G1107" i="11"/>
  <c r="K1107" i="11"/>
  <c r="G1111" i="11"/>
  <c r="K1111" i="11"/>
  <c r="G1112" i="11"/>
  <c r="K1112" i="11"/>
  <c r="G1114" i="11"/>
  <c r="K1114" i="11"/>
  <c r="G1117" i="11"/>
  <c r="K1117" i="11"/>
  <c r="G1116" i="11"/>
  <c r="G1115" i="11"/>
  <c r="K1115" i="11"/>
  <c r="G1119" i="11"/>
  <c r="K1119" i="11"/>
  <c r="G1120" i="11"/>
  <c r="K1120" i="11"/>
  <c r="G1103" i="11"/>
  <c r="K1103" i="11"/>
  <c r="G1102" i="11"/>
  <c r="K1102" i="11"/>
  <c r="G1101" i="11"/>
  <c r="K1101" i="11"/>
  <c r="G1100" i="11"/>
  <c r="K1100" i="11"/>
  <c r="G1121" i="11"/>
  <c r="K1121" i="11"/>
  <c r="G1124" i="11"/>
  <c r="K1124" i="11"/>
  <c r="G1123" i="11"/>
  <c r="K1123" i="11"/>
  <c r="G1122" i="11"/>
  <c r="K1122" i="11"/>
  <c r="G1125" i="11"/>
  <c r="K1125" i="11"/>
  <c r="G1126" i="11"/>
  <c r="K1126" i="11"/>
  <c r="G1127" i="11"/>
  <c r="K1127" i="11"/>
  <c r="G1130" i="11"/>
  <c r="K1130" i="11"/>
  <c r="G1129" i="11"/>
  <c r="K1129" i="11"/>
  <c r="G1132" i="11"/>
  <c r="K1132" i="11"/>
  <c r="G1133" i="11"/>
  <c r="K1133" i="11"/>
  <c r="G1134" i="11"/>
  <c r="K1134" i="11"/>
  <c r="G1135" i="11"/>
  <c r="K1135" i="11"/>
  <c r="G1138" i="11"/>
  <c r="K1138" i="11"/>
  <c r="G1136" i="11"/>
  <c r="K1136" i="11"/>
  <c r="G1140" i="11"/>
  <c r="K1140" i="11"/>
  <c r="G1142" i="11"/>
  <c r="K1142" i="11"/>
  <c r="G1145" i="11"/>
  <c r="K1145" i="11"/>
  <c r="G1144" i="11"/>
  <c r="G1143" i="11"/>
  <c r="K1143" i="11"/>
  <c r="G1146" i="11"/>
  <c r="K1146" i="11"/>
  <c r="G1147" i="11"/>
  <c r="K1147" i="11"/>
  <c r="G1149" i="11"/>
  <c r="K1149" i="11"/>
  <c r="G1152" i="11"/>
  <c r="K1152" i="11"/>
  <c r="G1151" i="11"/>
  <c r="G1150" i="11"/>
  <c r="K1150" i="11"/>
  <c r="G1153" i="11"/>
  <c r="K1153" i="11"/>
  <c r="G1154" i="11"/>
  <c r="K1154" i="11"/>
  <c r="G1159" i="11"/>
  <c r="K1159" i="11"/>
  <c r="G1157" i="11"/>
  <c r="K1157" i="11"/>
  <c r="G1155" i="11"/>
  <c r="K1155" i="11"/>
  <c r="G1160" i="11"/>
  <c r="K1160" i="11"/>
  <c r="G1162" i="11"/>
  <c r="K1162" i="11"/>
  <c r="G1163" i="11"/>
  <c r="K1163" i="11"/>
  <c r="G1166" i="11"/>
  <c r="G1165" i="11"/>
  <c r="K1165" i="11"/>
  <c r="G1164" i="11"/>
  <c r="K1164" i="11"/>
  <c r="G1168" i="11"/>
  <c r="K1168" i="11"/>
  <c r="K1144" i="11"/>
  <c r="G1169" i="11"/>
  <c r="K1169" i="11"/>
  <c r="G1173" i="11"/>
  <c r="K1173" i="11"/>
  <c r="G1172" i="11"/>
  <c r="K1172" i="11"/>
  <c r="G1171" i="11"/>
  <c r="K1171" i="11"/>
  <c r="G1170" i="11"/>
  <c r="G1174" i="11"/>
  <c r="K1174" i="11"/>
  <c r="G1175" i="11"/>
  <c r="K1175" i="11"/>
  <c r="G1176" i="11"/>
  <c r="K1176" i="11"/>
  <c r="G1177" i="11"/>
  <c r="K1177" i="11"/>
  <c r="G1180" i="11"/>
  <c r="G1178" i="11"/>
  <c r="K1178" i="11"/>
  <c r="G1181" i="11"/>
  <c r="K1181" i="11"/>
  <c r="G1182" i="11"/>
  <c r="K1182" i="11"/>
  <c r="G1183" i="11"/>
  <c r="K1183" i="11"/>
  <c r="G1184" i="11"/>
  <c r="K1184" i="11"/>
  <c r="G1187" i="11"/>
  <c r="K1187" i="11"/>
  <c r="G1186" i="11"/>
  <c r="K1186" i="11"/>
  <c r="G1185" i="11"/>
  <c r="K1185" i="11"/>
  <c r="G1188" i="11"/>
  <c r="K1188" i="11"/>
  <c r="G1190" i="11"/>
  <c r="K1190" i="11"/>
  <c r="G1193" i="11"/>
  <c r="K1193" i="11"/>
  <c r="G1194" i="11"/>
  <c r="K1194" i="11"/>
  <c r="G1197" i="11"/>
  <c r="K1197" i="11"/>
  <c r="G1205" i="11"/>
  <c r="K1205" i="11"/>
  <c r="G1219" i="11"/>
  <c r="K1219" i="11"/>
  <c r="G1288" i="11"/>
  <c r="K1288" i="11"/>
  <c r="G1294" i="11"/>
  <c r="K1294" i="11"/>
  <c r="G1310" i="11"/>
  <c r="K1310" i="11"/>
  <c r="G1311" i="11"/>
  <c r="K1311" i="11"/>
  <c r="G1319" i="11"/>
  <c r="K1319" i="11"/>
  <c r="G1330" i="11"/>
  <c r="K1330" i="11"/>
  <c r="G1379" i="11"/>
  <c r="K1379" i="11"/>
  <c r="G1392" i="11"/>
  <c r="K1392" i="11"/>
  <c r="G1389" i="11"/>
  <c r="K1389" i="11"/>
  <c r="G1393" i="11"/>
  <c r="K1393" i="11"/>
  <c r="G1410" i="11"/>
  <c r="K1410" i="11"/>
  <c r="G1409" i="11"/>
  <c r="K1409" i="11"/>
  <c r="G1538" i="11"/>
  <c r="K1538" i="11"/>
  <c r="G1543" i="11"/>
  <c r="K1543" i="11"/>
  <c r="G1547" i="11"/>
  <c r="K1547" i="11"/>
  <c r="G1549" i="11"/>
  <c r="K1549" i="11"/>
  <c r="G1555" i="11"/>
  <c r="K1555" i="11"/>
  <c r="F765" i="11"/>
  <c r="F764" i="11"/>
  <c r="G1204" i="11"/>
  <c r="K1204" i="11"/>
  <c r="G1206" i="11"/>
  <c r="K1206" i="11"/>
  <c r="G1210" i="11"/>
  <c r="K1210" i="11"/>
  <c r="G1214" i="11"/>
  <c r="K1214" i="11"/>
  <c r="G1216" i="11"/>
  <c r="K1216" i="11"/>
  <c r="G1220" i="11"/>
  <c r="K1220" i="11"/>
  <c r="G1226" i="11"/>
  <c r="K1226" i="11"/>
  <c r="G1254" i="11"/>
  <c r="K1254" i="11"/>
  <c r="G1258" i="11"/>
  <c r="K1258" i="11"/>
  <c r="G1263" i="11"/>
  <c r="K1263" i="11"/>
  <c r="G1262" i="11"/>
  <c r="K1262" i="11"/>
  <c r="G1287" i="11"/>
  <c r="K1287" i="11"/>
  <c r="G1292" i="11"/>
  <c r="K1292" i="11"/>
  <c r="G1290" i="11"/>
  <c r="K1290" i="11"/>
  <c r="G1300" i="11"/>
  <c r="K1300" i="11"/>
  <c r="G1302" i="11"/>
  <c r="K1302" i="11"/>
  <c r="G1308" i="11"/>
  <c r="K1308" i="11"/>
  <c r="G1313" i="11"/>
  <c r="K1313" i="11"/>
  <c r="G1320" i="11"/>
  <c r="G1318" i="11"/>
  <c r="K1318" i="11"/>
  <c r="G1322" i="11"/>
  <c r="K1322" i="11"/>
  <c r="G1324" i="11"/>
  <c r="G1326" i="11"/>
  <c r="K1326" i="11"/>
  <c r="G1328" i="11"/>
  <c r="K1328" i="11"/>
  <c r="G1332" i="11"/>
  <c r="K1332" i="11"/>
  <c r="G1333" i="11"/>
  <c r="G1336" i="11"/>
  <c r="K1336" i="11"/>
  <c r="G1344" i="11"/>
  <c r="K1344" i="11"/>
  <c r="G1383" i="11"/>
  <c r="K1383" i="11"/>
  <c r="G1388" i="11"/>
  <c r="K1388" i="11"/>
  <c r="G1386" i="11"/>
  <c r="K1386" i="11"/>
  <c r="G1400" i="11"/>
  <c r="K1400" i="11"/>
  <c r="G1405" i="11"/>
  <c r="K1405" i="11"/>
  <c r="G1406" i="11"/>
  <c r="K1406" i="11"/>
  <c r="G1408" i="11"/>
  <c r="K1408" i="11"/>
  <c r="G1445" i="11"/>
  <c r="K1445" i="11"/>
  <c r="G1482" i="11"/>
  <c r="K1482" i="11"/>
  <c r="G1498" i="11"/>
  <c r="K1498" i="11"/>
  <c r="G1542" i="11"/>
  <c r="K1542" i="11"/>
  <c r="G1552" i="11"/>
  <c r="K1552" i="11"/>
  <c r="G1560" i="11"/>
  <c r="K1560" i="11"/>
  <c r="G1563" i="11"/>
  <c r="K1563" i="11"/>
  <c r="G1567" i="11"/>
  <c r="K1567" i="11"/>
  <c r="G1572" i="11"/>
  <c r="K1572" i="11"/>
  <c r="G1656" i="11"/>
  <c r="K1656" i="11"/>
  <c r="J1676" i="11"/>
  <c r="I4" i="11"/>
  <c r="I3" i="11"/>
  <c r="K880" i="11"/>
  <c r="G1207" i="11"/>
  <c r="K1207" i="11"/>
  <c r="G1209" i="11"/>
  <c r="K1209" i="11"/>
  <c r="G1211" i="11"/>
  <c r="K1211" i="11"/>
  <c r="G1215" i="11"/>
  <c r="K1215" i="11"/>
  <c r="G1213" i="11"/>
  <c r="K1213" i="11"/>
  <c r="G1221" i="11"/>
  <c r="K1221" i="11"/>
  <c r="G1223" i="11"/>
  <c r="K1223" i="11"/>
  <c r="G1225" i="11"/>
  <c r="K1225" i="11"/>
  <c r="G1231" i="11"/>
  <c r="K1231" i="11"/>
  <c r="G1257" i="11"/>
  <c r="K1257" i="11"/>
  <c r="G1253" i="11"/>
  <c r="K1253" i="11"/>
  <c r="G1264" i="11"/>
  <c r="K1264" i="11"/>
  <c r="G1261" i="11"/>
  <c r="K1261" i="11"/>
  <c r="G1289" i="11"/>
  <c r="K1289" i="11"/>
  <c r="G1291" i="11"/>
  <c r="K1291" i="11"/>
  <c r="G1293" i="11"/>
  <c r="K1293" i="11"/>
  <c r="G1299" i="11"/>
  <c r="K1299" i="11"/>
  <c r="G1297" i="11"/>
  <c r="K1297" i="11"/>
  <c r="G1301" i="11"/>
  <c r="K1301" i="11"/>
  <c r="G1307" i="11"/>
  <c r="K1307" i="11"/>
  <c r="G1312" i="11"/>
  <c r="K1312" i="11"/>
  <c r="G1315" i="11"/>
  <c r="K1315" i="11"/>
  <c r="G1317" i="11"/>
  <c r="K1317" i="11"/>
  <c r="G1321" i="11"/>
  <c r="K1321" i="11"/>
  <c r="G1323" i="11"/>
  <c r="K1323" i="11"/>
  <c r="G1327" i="11"/>
  <c r="K1327" i="11"/>
  <c r="G1325" i="11"/>
  <c r="K1325" i="11"/>
  <c r="G1329" i="11"/>
  <c r="G1331" i="11"/>
  <c r="K1331" i="11"/>
  <c r="G1334" i="11"/>
  <c r="G1337" i="11"/>
  <c r="K1337" i="11"/>
  <c r="G1342" i="11"/>
  <c r="K1342" i="11"/>
  <c r="G1380" i="11"/>
  <c r="K1380" i="11"/>
  <c r="G1382" i="11"/>
  <c r="K1382" i="11"/>
  <c r="G1391" i="11"/>
  <c r="K1391" i="11"/>
  <c r="G1387" i="11"/>
  <c r="K1387" i="11"/>
  <c r="G1385" i="11"/>
  <c r="K1385" i="11"/>
  <c r="G1394" i="11"/>
  <c r="K1394" i="11"/>
  <c r="G1396" i="11"/>
  <c r="K1396" i="11"/>
  <c r="G1401" i="11"/>
  <c r="K1401" i="11"/>
  <c r="G1404" i="11"/>
  <c r="K1404" i="11"/>
  <c r="G1402" i="11"/>
  <c r="K1402" i="11"/>
  <c r="G1443" i="11"/>
  <c r="K1443" i="11"/>
  <c r="G1444" i="11"/>
  <c r="K1444" i="11"/>
  <c r="G1473" i="11"/>
  <c r="K1473" i="11"/>
  <c r="K1479" i="11"/>
  <c r="G1500" i="11"/>
  <c r="K1500" i="11"/>
  <c r="G1536" i="11"/>
  <c r="K1536" i="11"/>
  <c r="G1548" i="11"/>
  <c r="K1548" i="11"/>
  <c r="G1553" i="11"/>
  <c r="K1553" i="11"/>
  <c r="G1559" i="11"/>
  <c r="K1559" i="11"/>
  <c r="G1573" i="11"/>
  <c r="K1573" i="11"/>
  <c r="G1561" i="11"/>
  <c r="K1561" i="11"/>
  <c r="G1566" i="11"/>
  <c r="K1566" i="11"/>
  <c r="G1565" i="11"/>
  <c r="K1565" i="11"/>
  <c r="G1564" i="11"/>
  <c r="K1564" i="11"/>
  <c r="G1571" i="11"/>
  <c r="K1571" i="11"/>
  <c r="D400" i="11"/>
  <c r="D401" i="11"/>
  <c r="G401" i="11"/>
  <c r="G526" i="11"/>
  <c r="K526" i="11"/>
  <c r="G622" i="11"/>
  <c r="K622" i="11"/>
  <c r="G628" i="11"/>
  <c r="K628" i="11"/>
  <c r="G666" i="11"/>
  <c r="K666" i="11"/>
  <c r="G674" i="11"/>
  <c r="K674" i="11"/>
  <c r="G682" i="11"/>
  <c r="K682" i="11"/>
  <c r="G685" i="11"/>
  <c r="K685" i="11"/>
  <c r="G693" i="11"/>
  <c r="K693" i="11"/>
  <c r="G710" i="11"/>
  <c r="K710" i="11"/>
  <c r="G725" i="11"/>
  <c r="K725" i="11"/>
  <c r="K746" i="11"/>
  <c r="E765" i="11"/>
  <c r="K768" i="11"/>
  <c r="G769" i="11"/>
  <c r="K769" i="11"/>
  <c r="G772" i="11"/>
  <c r="K772" i="11"/>
  <c r="G791" i="11"/>
  <c r="K791" i="11"/>
  <c r="G803" i="11"/>
  <c r="K803" i="11"/>
  <c r="G812" i="11"/>
  <c r="K812" i="11"/>
  <c r="G814" i="11"/>
  <c r="K814" i="11"/>
  <c r="G818" i="11"/>
  <c r="K818" i="11"/>
  <c r="G826" i="11"/>
  <c r="K826" i="11"/>
  <c r="G829" i="11"/>
  <c r="K829" i="11"/>
  <c r="G837" i="11"/>
  <c r="K837" i="11"/>
  <c r="G844" i="11"/>
  <c r="K844" i="11"/>
  <c r="G842" i="11"/>
  <c r="K842" i="11"/>
  <c r="G853" i="11"/>
  <c r="K853" i="11"/>
  <c r="G859" i="11"/>
  <c r="K859" i="11"/>
  <c r="G861" i="11"/>
  <c r="K861" i="11"/>
  <c r="G866" i="11"/>
  <c r="K866" i="11"/>
  <c r="G872" i="11"/>
  <c r="K872" i="11"/>
  <c r="G873" i="11"/>
  <c r="K873" i="11"/>
  <c r="G878" i="11"/>
  <c r="K878" i="11"/>
  <c r="G881" i="11"/>
  <c r="K881" i="11"/>
  <c r="G882" i="11"/>
  <c r="K882" i="11"/>
  <c r="G887" i="11"/>
  <c r="K887" i="11"/>
  <c r="G885" i="11"/>
  <c r="K885" i="11"/>
  <c r="G891" i="11"/>
  <c r="K891" i="11"/>
  <c r="G892" i="11"/>
  <c r="K892" i="11"/>
  <c r="G907" i="11"/>
  <c r="K907" i="11"/>
  <c r="G908" i="11"/>
  <c r="K908" i="11"/>
  <c r="G910" i="11"/>
  <c r="K910" i="11"/>
  <c r="G912" i="11"/>
  <c r="K912" i="11"/>
  <c r="G911" i="11"/>
  <c r="K911" i="11"/>
  <c r="G918" i="11"/>
  <c r="K918" i="11"/>
  <c r="G920" i="11"/>
  <c r="G922" i="11"/>
  <c r="K922" i="11"/>
  <c r="G924" i="11"/>
  <c r="K924" i="11"/>
  <c r="G925" i="11"/>
  <c r="K925" i="11"/>
  <c r="G926" i="11"/>
  <c r="K926" i="11"/>
  <c r="G931" i="11"/>
  <c r="K931" i="11"/>
  <c r="G933" i="11"/>
  <c r="K933" i="11"/>
  <c r="G938" i="11"/>
  <c r="K938" i="11"/>
  <c r="G939" i="11"/>
  <c r="K939" i="11"/>
  <c r="G944" i="11"/>
  <c r="K944" i="11"/>
  <c r="G950" i="11"/>
  <c r="K950" i="11"/>
  <c r="G960" i="11"/>
  <c r="K960" i="11"/>
  <c r="G1055" i="11"/>
  <c r="K1055" i="11"/>
  <c r="G440" i="11"/>
  <c r="G617" i="11"/>
  <c r="K617" i="11"/>
  <c r="G625" i="11"/>
  <c r="K625" i="11"/>
  <c r="G1298" i="11"/>
  <c r="K1298" i="11"/>
  <c r="G1037" i="11"/>
  <c r="K1037" i="11"/>
  <c r="G1148" i="11"/>
  <c r="K1148" i="11"/>
  <c r="G1795" i="11"/>
  <c r="G1814" i="11"/>
  <c r="G1854" i="11"/>
  <c r="G1867" i="11"/>
  <c r="G1863" i="11"/>
  <c r="G1997" i="11"/>
  <c r="K8" i="11"/>
  <c r="G128" i="11"/>
  <c r="C615" i="11"/>
  <c r="G619" i="11"/>
  <c r="K619" i="11"/>
  <c r="G665" i="11"/>
  <c r="K665" i="11"/>
  <c r="G669" i="11"/>
  <c r="K669" i="11"/>
  <c r="G1492" i="11"/>
  <c r="K1492" i="11"/>
  <c r="K261" i="11"/>
  <c r="G981" i="11"/>
  <c r="K981" i="11"/>
  <c r="G1019" i="11"/>
  <c r="K1019" i="11"/>
  <c r="G1018" i="11"/>
  <c r="K1018" i="11"/>
  <c r="G1021" i="11"/>
  <c r="K1021" i="11"/>
  <c r="G1022" i="11"/>
  <c r="G1024" i="11"/>
  <c r="K1024" i="11"/>
  <c r="G1026" i="11"/>
  <c r="K1026" i="11"/>
  <c r="G1025" i="11"/>
  <c r="K1025" i="11"/>
  <c r="G1027" i="11"/>
  <c r="G1029" i="11"/>
  <c r="K1029" i="11"/>
  <c r="G1033" i="11"/>
  <c r="K1033" i="11"/>
  <c r="G1032" i="11"/>
  <c r="K1032" i="11"/>
  <c r="G1034" i="11"/>
  <c r="K1034" i="11"/>
  <c r="G1035" i="11"/>
  <c r="K1035" i="11"/>
  <c r="G1036" i="11"/>
  <c r="G1040" i="11"/>
  <c r="K1040" i="11"/>
  <c r="G1039" i="11"/>
  <c r="G1038" i="11"/>
  <c r="K1038" i="11"/>
  <c r="G740" i="11"/>
  <c r="K740" i="11"/>
  <c r="G741" i="11"/>
  <c r="K741" i="11"/>
  <c r="G754" i="11"/>
  <c r="K754" i="11"/>
  <c r="G756" i="11"/>
  <c r="K756" i="11"/>
  <c r="G813" i="11"/>
  <c r="K813" i="11"/>
  <c r="G827" i="11"/>
  <c r="K827" i="11"/>
  <c r="G838" i="11"/>
  <c r="K838" i="11"/>
  <c r="G841" i="11"/>
  <c r="K841" i="11"/>
  <c r="G845" i="11"/>
  <c r="K845" i="11"/>
  <c r="G850" i="11"/>
  <c r="K850" i="11"/>
  <c r="G875" i="11"/>
  <c r="K875" i="11"/>
  <c r="G876" i="11"/>
  <c r="K876" i="11"/>
  <c r="G899" i="11"/>
  <c r="G898" i="11"/>
  <c r="K898" i="11"/>
  <c r="G896" i="11"/>
  <c r="K896" i="11"/>
  <c r="G1545" i="11"/>
  <c r="K1545" i="11"/>
  <c r="G2030" i="11"/>
  <c r="E615" i="11"/>
  <c r="G633" i="11"/>
  <c r="K633" i="11"/>
  <c r="G632" i="11"/>
  <c r="K632" i="11"/>
  <c r="G722" i="11"/>
  <c r="K722" i="11"/>
  <c r="G735" i="11"/>
  <c r="K735" i="11"/>
  <c r="G897" i="11"/>
  <c r="K897" i="11"/>
  <c r="G902" i="11"/>
  <c r="K902" i="11"/>
  <c r="G905" i="11"/>
  <c r="K905" i="11"/>
  <c r="G915" i="11"/>
  <c r="K915" i="11"/>
  <c r="G917" i="11"/>
  <c r="K917" i="11"/>
  <c r="G921" i="11"/>
  <c r="K921" i="11"/>
  <c r="G923" i="11"/>
  <c r="K923" i="11"/>
  <c r="G927" i="11"/>
  <c r="K927" i="11"/>
  <c r="G929" i="11"/>
  <c r="K929" i="11"/>
  <c r="G936" i="11"/>
  <c r="K936" i="11"/>
  <c r="G937" i="11"/>
  <c r="K937" i="11"/>
  <c r="G946" i="11"/>
  <c r="K946" i="11"/>
  <c r="G948" i="11"/>
  <c r="K948" i="11"/>
  <c r="G947" i="11"/>
  <c r="K947" i="11"/>
  <c r="G989" i="11"/>
  <c r="K989" i="11"/>
  <c r="G1006" i="11"/>
  <c r="K1006" i="11"/>
  <c r="G1506" i="11"/>
  <c r="K1506" i="11"/>
  <c r="G1507" i="11"/>
  <c r="K1507" i="11"/>
  <c r="G1511" i="11"/>
  <c r="K1511" i="11"/>
  <c r="G1654" i="11"/>
  <c r="K1654" i="11"/>
  <c r="G1651" i="11"/>
  <c r="K1651" i="11"/>
  <c r="G2009" i="11"/>
  <c r="G445" i="11"/>
  <c r="K445" i="11"/>
  <c r="G691" i="11"/>
  <c r="K691" i="11"/>
  <c r="G700" i="11"/>
  <c r="K700" i="11"/>
  <c r="G709" i="11"/>
  <c r="K709" i="11"/>
  <c r="D764" i="11"/>
  <c r="G986" i="11"/>
  <c r="K986" i="11"/>
  <c r="G1446" i="11"/>
  <c r="G1449" i="11"/>
  <c r="K1449" i="11"/>
  <c r="G1610" i="11"/>
  <c r="K1610" i="11"/>
  <c r="G644" i="11"/>
  <c r="K644" i="11"/>
  <c r="C272" i="11"/>
  <c r="G675" i="11"/>
  <c r="K675" i="11"/>
  <c r="G715" i="11"/>
  <c r="K715" i="11"/>
  <c r="G739" i="11"/>
  <c r="K739" i="11"/>
  <c r="G1109" i="11"/>
  <c r="K1109" i="11"/>
  <c r="G1108" i="11"/>
  <c r="K1108" i="11"/>
  <c r="G1690" i="11"/>
  <c r="G1689" i="11"/>
  <c r="G1693" i="11"/>
  <c r="G1698" i="11"/>
  <c r="G1696" i="11"/>
  <c r="G1699" i="11"/>
  <c r="G1700" i="11"/>
  <c r="G1701" i="11"/>
  <c r="G1702" i="11"/>
  <c r="G1703" i="11"/>
  <c r="G1706" i="11"/>
  <c r="G1711" i="11"/>
  <c r="G1713" i="11"/>
  <c r="G1719" i="11"/>
  <c r="G1723" i="11"/>
  <c r="G1728" i="11"/>
  <c r="G1741" i="11"/>
  <c r="G1740" i="11"/>
  <c r="G1739" i="11"/>
  <c r="G1754" i="11"/>
  <c r="G1756" i="11"/>
  <c r="G1781" i="11"/>
  <c r="G1779" i="11"/>
  <c r="G1816" i="11"/>
  <c r="G1822" i="11"/>
  <c r="G1841" i="11"/>
  <c r="G1985" i="11"/>
  <c r="G2033" i="11"/>
  <c r="G641" i="11"/>
  <c r="K641" i="11"/>
  <c r="G642" i="11"/>
  <c r="G658" i="11"/>
  <c r="K658" i="11"/>
  <c r="G1240" i="11"/>
  <c r="K1240" i="11"/>
  <c r="G1339" i="11"/>
  <c r="G1343" i="11"/>
  <c r="G1501" i="11"/>
  <c r="K1501" i="11"/>
  <c r="G1503" i="11"/>
  <c r="K1503" i="11"/>
  <c r="G1532" i="11"/>
  <c r="K1532" i="11"/>
  <c r="G1680" i="11"/>
  <c r="G2012" i="11"/>
  <c r="G2054" i="11"/>
  <c r="G64" i="11"/>
  <c r="K64" i="11"/>
  <c r="K695" i="11"/>
  <c r="G699" i="11"/>
  <c r="K699" i="11"/>
  <c r="G705" i="11"/>
  <c r="K705" i="11"/>
  <c r="G723" i="11"/>
  <c r="K723" i="11"/>
  <c r="G758" i="11"/>
  <c r="K758" i="11"/>
  <c r="G1042" i="11"/>
  <c r="K1042" i="11"/>
  <c r="G1137" i="11"/>
  <c r="K1137" i="11"/>
  <c r="G1167" i="11"/>
  <c r="K1167" i="11"/>
  <c r="G1192" i="11"/>
  <c r="K1192" i="11"/>
  <c r="G1281" i="11"/>
  <c r="K1281" i="11"/>
  <c r="G1295" i="11"/>
  <c r="K1295" i="11"/>
  <c r="G1494" i="11"/>
  <c r="K1494" i="11"/>
  <c r="G1515" i="11"/>
  <c r="K1515" i="11"/>
  <c r="G1525" i="11"/>
  <c r="K1525" i="11"/>
  <c r="G1602" i="11"/>
  <c r="K1602" i="11"/>
  <c r="G1611" i="11"/>
  <c r="K1611" i="11"/>
  <c r="G1623" i="11"/>
  <c r="K1623" i="11"/>
  <c r="G1907" i="11"/>
  <c r="G1984" i="11"/>
  <c r="G678" i="11"/>
  <c r="K678" i="11"/>
  <c r="G1655" i="11"/>
  <c r="K1655" i="11"/>
  <c r="G660" i="11"/>
  <c r="K660" i="11"/>
  <c r="G684" i="11"/>
  <c r="K684" i="11"/>
  <c r="G687" i="11"/>
  <c r="K687" i="11"/>
  <c r="G1722" i="11"/>
  <c r="G444" i="11"/>
  <c r="G646" i="11"/>
  <c r="K646" i="11"/>
  <c r="G668" i="11"/>
  <c r="K668" i="11"/>
  <c r="G670" i="11"/>
  <c r="K670" i="11"/>
  <c r="G680" i="11"/>
  <c r="K680" i="11"/>
  <c r="G728" i="11"/>
  <c r="K728" i="11"/>
  <c r="G1390" i="11"/>
  <c r="K1390" i="11"/>
  <c r="C3" i="11"/>
  <c r="K268" i="11"/>
  <c r="G655" i="11"/>
  <c r="K655" i="11"/>
  <c r="G662" i="11"/>
  <c r="K662" i="11"/>
  <c r="G1504" i="11"/>
  <c r="K1504" i="11"/>
  <c r="G1531" i="11"/>
  <c r="K1531" i="11"/>
  <c r="C4" i="11"/>
  <c r="G1653" i="11"/>
  <c r="G667" i="11"/>
  <c r="K667" i="11"/>
  <c r="G671" i="11"/>
  <c r="K671" i="11"/>
  <c r="G690" i="11"/>
  <c r="K690" i="11"/>
  <c r="G696" i="11"/>
  <c r="K696" i="11"/>
  <c r="G708" i="11"/>
  <c r="K708" i="11"/>
  <c r="G712" i="11"/>
  <c r="K712" i="11"/>
  <c r="G726" i="11"/>
  <c r="K726" i="11"/>
  <c r="G729" i="11"/>
  <c r="K729" i="11"/>
  <c r="G730" i="11"/>
  <c r="K730" i="11"/>
  <c r="G736" i="11"/>
  <c r="K736" i="11"/>
  <c r="G738" i="11"/>
  <c r="K738" i="11"/>
  <c r="G985" i="11"/>
  <c r="K985" i="11"/>
  <c r="G1013" i="11"/>
  <c r="G1106" i="11"/>
  <c r="K1106" i="11"/>
  <c r="G1131" i="11"/>
  <c r="K1131" i="11"/>
  <c r="G1195" i="11"/>
  <c r="K1195" i="11"/>
  <c r="G1222" i="11"/>
  <c r="K1222" i="11"/>
  <c r="G1224" i="11"/>
  <c r="K1224" i="11"/>
  <c r="G1283" i="11"/>
  <c r="K1283" i="11"/>
  <c r="G1509" i="11"/>
  <c r="K1509" i="11"/>
  <c r="G1514" i="11"/>
  <c r="K1514" i="11"/>
  <c r="G1520" i="11"/>
  <c r="K1520" i="11"/>
  <c r="G1530" i="11"/>
  <c r="K1530" i="11"/>
  <c r="G1534" i="11"/>
  <c r="K1534" i="11"/>
  <c r="G1562" i="11"/>
  <c r="K1562" i="11"/>
  <c r="G1586" i="11"/>
  <c r="K1586" i="11"/>
  <c r="G1593" i="11"/>
  <c r="K1593" i="11"/>
  <c r="G1596" i="11"/>
  <c r="K1596" i="11"/>
  <c r="G1652" i="11"/>
  <c r="K1652" i="11"/>
  <c r="G1983" i="11"/>
  <c r="G2000" i="11"/>
  <c r="G2028" i="11"/>
  <c r="G706" i="11"/>
  <c r="G707" i="11"/>
  <c r="K707" i="11"/>
  <c r="G751" i="11"/>
  <c r="K751" i="11"/>
  <c r="G760" i="11"/>
  <c r="K760" i="11"/>
  <c r="G982" i="11"/>
  <c r="G1092" i="11"/>
  <c r="K1092" i="11"/>
  <c r="G1113" i="11"/>
  <c r="K1113" i="11"/>
  <c r="G1259" i="11"/>
  <c r="K1259" i="11"/>
  <c r="G1260" i="11"/>
  <c r="K1260" i="11"/>
  <c r="G1403" i="11"/>
  <c r="K1403" i="11"/>
  <c r="G1512" i="11"/>
  <c r="K1512" i="11"/>
  <c r="G1523" i="11"/>
  <c r="K1523" i="11"/>
  <c r="G1537" i="11"/>
  <c r="K1537" i="11"/>
  <c r="G1544" i="11"/>
  <c r="K1544" i="11"/>
  <c r="G1606" i="11"/>
  <c r="K1606" i="11"/>
  <c r="G1608" i="11"/>
  <c r="K1608" i="11"/>
  <c r="G1684" i="11"/>
  <c r="G1858" i="11"/>
  <c r="G1885" i="11"/>
  <c r="G1987" i="11"/>
  <c r="G2027" i="11"/>
  <c r="G2042" i="11"/>
  <c r="G701" i="11"/>
  <c r="K701" i="11"/>
  <c r="G717" i="11"/>
  <c r="K717" i="11"/>
  <c r="G719" i="11"/>
  <c r="K719" i="11"/>
  <c r="G724" i="11"/>
  <c r="K724" i="11"/>
  <c r="G734" i="11"/>
  <c r="K734" i="11"/>
  <c r="G737" i="11"/>
  <c r="K737" i="11"/>
  <c r="G1064" i="11"/>
  <c r="K1064" i="11"/>
  <c r="G1179" i="11"/>
  <c r="K1179" i="11"/>
  <c r="G1255" i="11"/>
  <c r="K1255" i="11"/>
  <c r="G1338" i="11"/>
  <c r="G1348" i="11"/>
  <c r="K1348" i="11"/>
  <c r="G1463" i="11"/>
  <c r="K1463" i="11"/>
  <c r="G1510" i="11"/>
  <c r="K1510" i="11"/>
  <c r="G1517" i="11"/>
  <c r="K1517" i="11"/>
  <c r="G1789" i="11"/>
  <c r="G1811" i="11"/>
  <c r="G1815" i="11"/>
  <c r="G1930" i="11"/>
  <c r="G1995" i="11"/>
  <c r="G2018" i="11"/>
  <c r="G2048" i="11"/>
  <c r="G2059" i="11"/>
  <c r="K706" i="11"/>
  <c r="G624" i="11"/>
  <c r="K624" i="11"/>
  <c r="G681" i="11"/>
  <c r="K681" i="11"/>
  <c r="G688" i="11"/>
  <c r="K688" i="11"/>
  <c r="G704" i="11"/>
  <c r="K704" i="11"/>
  <c r="G702" i="11"/>
  <c r="K702" i="11"/>
  <c r="G623" i="11"/>
  <c r="K623" i="11"/>
  <c r="G637" i="11"/>
  <c r="K637" i="11"/>
  <c r="G677" i="11"/>
  <c r="K677" i="11"/>
  <c r="G721" i="11"/>
  <c r="K721" i="11"/>
  <c r="G679" i="11"/>
  <c r="K679" i="11"/>
  <c r="G697" i="11"/>
  <c r="K697" i="11"/>
  <c r="G714" i="11"/>
  <c r="K714" i="11"/>
  <c r="G731" i="11"/>
  <c r="K731" i="11"/>
  <c r="G727" i="11"/>
  <c r="K727" i="11"/>
  <c r="K642" i="11"/>
  <c r="G659" i="11"/>
  <c r="K659" i="11"/>
  <c r="G676" i="11"/>
  <c r="K676" i="11"/>
  <c r="G686" i="11"/>
  <c r="K686" i="11"/>
  <c r="G744" i="11"/>
  <c r="K744" i="11"/>
  <c r="G761" i="11"/>
  <c r="K761" i="11"/>
  <c r="G992" i="11"/>
  <c r="G1005" i="11"/>
  <c r="G991" i="11"/>
  <c r="K991" i="11"/>
  <c r="G1060" i="11"/>
  <c r="K1060" i="11"/>
  <c r="G1079" i="11"/>
  <c r="K1079" i="11"/>
  <c r="G1191" i="11"/>
  <c r="K1191" i="11"/>
  <c r="G1284" i="11"/>
  <c r="K1284" i="11"/>
  <c r="G1110" i="11"/>
  <c r="K1110" i="11"/>
  <c r="G1196" i="11"/>
  <c r="K1196" i="11"/>
  <c r="G1238" i="11"/>
  <c r="K1238" i="11"/>
  <c r="G1303" i="11"/>
  <c r="K1303" i="11"/>
  <c r="D3" i="11"/>
  <c r="D4" i="11"/>
  <c r="G1505" i="11"/>
  <c r="K1505" i="11"/>
  <c r="G1516" i="11"/>
  <c r="K1516" i="11"/>
  <c r="G1519" i="11"/>
  <c r="K1519" i="11"/>
  <c r="G1522" i="11"/>
  <c r="K1522" i="11"/>
  <c r="G1526" i="11"/>
  <c r="K1526" i="11"/>
  <c r="G1539" i="11"/>
  <c r="K1539" i="11"/>
  <c r="G1551" i="11"/>
  <c r="K1551" i="11"/>
  <c r="G1556" i="11"/>
  <c r="K1556" i="11"/>
  <c r="K1339" i="11"/>
  <c r="G1502" i="11"/>
  <c r="K1502" i="11"/>
  <c r="G1508" i="11"/>
  <c r="K1508" i="11"/>
  <c r="G1513" i="11"/>
  <c r="K1513" i="11"/>
  <c r="G1518" i="11"/>
  <c r="K1518" i="11"/>
  <c r="G1600" i="11"/>
  <c r="K1600" i="11"/>
  <c r="G1619" i="11"/>
  <c r="K1619" i="11"/>
  <c r="K1653" i="11"/>
  <c r="G1576" i="11"/>
  <c r="K1576" i="11"/>
  <c r="G2060" i="11"/>
  <c r="G2068" i="11"/>
  <c r="C49" i="11"/>
  <c r="C50" i="11"/>
  <c r="G94" i="11"/>
  <c r="G1065" i="11"/>
  <c r="K1065" i="11"/>
  <c r="G1158" i="11"/>
  <c r="K1158" i="11"/>
  <c r="G1199" i="11"/>
  <c r="K1199" i="11"/>
  <c r="G1203" i="11"/>
  <c r="K1203" i="11"/>
  <c r="G1285" i="11"/>
  <c r="K1285" i="11"/>
  <c r="G1314" i="11"/>
  <c r="K1314" i="11"/>
  <c r="G1352" i="11"/>
  <c r="K1352" i="11"/>
  <c r="G1413" i="11"/>
  <c r="K1413" i="11"/>
  <c r="G1437" i="11"/>
  <c r="K1437" i="11"/>
  <c r="G1201" i="11"/>
  <c r="K1201" i="11"/>
  <c r="G1229" i="11"/>
  <c r="K1229" i="11"/>
  <c r="G1128" i="11"/>
  <c r="K1128" i="11"/>
  <c r="G1256" i="11"/>
  <c r="K1256" i="11"/>
  <c r="G1241" i="11"/>
  <c r="K1241" i="11"/>
  <c r="G1268" i="11"/>
  <c r="K1268" i="11"/>
  <c r="G1272" i="11"/>
  <c r="K1272" i="11"/>
  <c r="G1395" i="11"/>
  <c r="K1395" i="11"/>
  <c r="G1232" i="11"/>
  <c r="K1232" i="11"/>
  <c r="G1237" i="11"/>
  <c r="K1237" i="11"/>
  <c r="G1247" i="11"/>
  <c r="K1247" i="11"/>
  <c r="G1251" i="11"/>
  <c r="K1251" i="11"/>
  <c r="G1278" i="11"/>
  <c r="K1278" i="11"/>
  <c r="G1280" i="11"/>
  <c r="K1280" i="11"/>
  <c r="G1305" i="11"/>
  <c r="K1305" i="11"/>
  <c r="G1341" i="11"/>
  <c r="K1341" i="11"/>
  <c r="G1359" i="11"/>
  <c r="K1359" i="11"/>
  <c r="G1415" i="11"/>
  <c r="K1415" i="11"/>
  <c r="G1419" i="11"/>
  <c r="K1419" i="11"/>
  <c r="G1425" i="11"/>
  <c r="K1425" i="11"/>
  <c r="G1427" i="11"/>
  <c r="K1427" i="11"/>
  <c r="G1431" i="11"/>
  <c r="K1431" i="11"/>
  <c r="G1433" i="11"/>
  <c r="K1433" i="11"/>
  <c r="G1439" i="11"/>
  <c r="K1439" i="11"/>
  <c r="G1436" i="11"/>
  <c r="K1436" i="11"/>
  <c r="G1550" i="11"/>
  <c r="K1550" i="11"/>
  <c r="G1618" i="11"/>
  <c r="K1618" i="11"/>
  <c r="G1441" i="11"/>
  <c r="K1441" i="11"/>
  <c r="G1541" i="11"/>
  <c r="K1541" i="11"/>
  <c r="G1614" i="11"/>
  <c r="K1614" i="11"/>
  <c r="G1620" i="11"/>
  <c r="K1620" i="11"/>
  <c r="G1628" i="11"/>
  <c r="K1628" i="11"/>
  <c r="G1633" i="11"/>
  <c r="K1633" i="11"/>
  <c r="G1643" i="11"/>
  <c r="K1643" i="11"/>
  <c r="G1675" i="11"/>
  <c r="K1675" i="11"/>
  <c r="G1676" i="11"/>
  <c r="K1676" i="11"/>
  <c r="G1780" i="11"/>
  <c r="G1823" i="11"/>
  <c r="G1958" i="11"/>
  <c r="G2069" i="11"/>
  <c r="G1624" i="11"/>
  <c r="K1624" i="11"/>
  <c r="G1631" i="11"/>
  <c r="K1631" i="11"/>
  <c r="G1639" i="11"/>
  <c r="K1639" i="11"/>
  <c r="G1649" i="11"/>
  <c r="K1649" i="11"/>
  <c r="G1683" i="11"/>
  <c r="G1918" i="11"/>
  <c r="G1964" i="11"/>
  <c r="G1626" i="11"/>
  <c r="K1626" i="11"/>
  <c r="G1636" i="11"/>
  <c r="K1636" i="11"/>
  <c r="G1645" i="11"/>
  <c r="K1645" i="11"/>
  <c r="G1685" i="11"/>
  <c r="G1936" i="11"/>
  <c r="G1972" i="11"/>
  <c r="G2094" i="11"/>
  <c r="G2111" i="11"/>
  <c r="G69" i="11"/>
  <c r="G400" i="11"/>
  <c r="K400" i="11"/>
  <c r="G247" i="11"/>
  <c r="K405" i="11"/>
  <c r="G614" i="11"/>
  <c r="K614" i="11"/>
  <c r="K647" i="11"/>
  <c r="K716" i="11"/>
  <c r="E764" i="11"/>
  <c r="K857" i="11"/>
  <c r="G55" i="11"/>
  <c r="G575" i="11"/>
  <c r="K575" i="11"/>
  <c r="K1446" i="11"/>
  <c r="G1048" i="11"/>
  <c r="K1048" i="11"/>
  <c r="G1252" i="11"/>
  <c r="G1802" i="11"/>
  <c r="G1866" i="11"/>
  <c r="G1869" i="11"/>
  <c r="G770" i="11"/>
  <c r="K770" i="11"/>
  <c r="G805" i="11"/>
  <c r="K805" i="11"/>
  <c r="G846" i="11"/>
  <c r="K846" i="11"/>
  <c r="G855" i="11"/>
  <c r="K855" i="11"/>
  <c r="G856" i="11"/>
  <c r="K856" i="11"/>
  <c r="G863" i="11"/>
  <c r="K863" i="11"/>
  <c r="G870" i="11"/>
  <c r="K870" i="11"/>
  <c r="G890" i="11"/>
  <c r="K890" i="11"/>
  <c r="G901" i="11"/>
  <c r="K901" i="11"/>
  <c r="G928" i="11"/>
  <c r="K928" i="11"/>
  <c r="G935" i="11"/>
  <c r="K935" i="11"/>
  <c r="G1414" i="11"/>
  <c r="G1426" i="11"/>
  <c r="K1426" i="11"/>
  <c r="G1575" i="11"/>
  <c r="K1575" i="11"/>
  <c r="G1650" i="11"/>
  <c r="K1650" i="11"/>
  <c r="G1697" i="11"/>
  <c r="G1704" i="11"/>
  <c r="G1708" i="11"/>
  <c r="G1729" i="11"/>
  <c r="J4" i="11"/>
  <c r="K1151" i="11"/>
  <c r="K21" i="11"/>
  <c r="K255" i="11"/>
  <c r="G1442" i="11"/>
  <c r="K1442" i="11"/>
  <c r="K487" i="11"/>
  <c r="K1334" i="11"/>
  <c r="K1333" i="11"/>
  <c r="K1320" i="11"/>
  <c r="K260" i="11"/>
  <c r="G50" i="11"/>
  <c r="K50" i="11"/>
  <c r="K1338" i="11"/>
  <c r="K401" i="11"/>
  <c r="K1324" i="11"/>
  <c r="G121" i="11"/>
  <c r="G124" i="11"/>
  <c r="K124" i="11"/>
  <c r="G125" i="11"/>
  <c r="K125" i="11"/>
  <c r="G131" i="11"/>
  <c r="G258" i="11"/>
  <c r="K258" i="11"/>
  <c r="G264" i="11"/>
  <c r="K264" i="11"/>
  <c r="G398" i="11"/>
  <c r="K398" i="11"/>
  <c r="G383" i="11"/>
  <c r="G358" i="11"/>
  <c r="K358" i="11"/>
  <c r="G331" i="11"/>
  <c r="G323" i="11"/>
  <c r="G523" i="11"/>
  <c r="K523" i="11"/>
  <c r="G49" i="11"/>
  <c r="K49" i="11"/>
  <c r="C384" i="11"/>
  <c r="G384" i="11"/>
  <c r="K384" i="11"/>
  <c r="J3" i="11"/>
  <c r="K1343" i="11"/>
  <c r="K1329" i="11"/>
  <c r="G28" i="11"/>
  <c r="K28" i="11"/>
  <c r="G27" i="11"/>
  <c r="K27" i="11"/>
  <c r="G34" i="11"/>
  <c r="K34" i="11"/>
  <c r="G36" i="11"/>
  <c r="K36" i="11"/>
  <c r="G40" i="11"/>
  <c r="K40" i="11"/>
  <c r="G46" i="11"/>
  <c r="K46" i="11"/>
  <c r="G48" i="11"/>
  <c r="K48" i="11"/>
  <c r="K14" i="11"/>
  <c r="G47" i="11"/>
  <c r="G130" i="11"/>
  <c r="K130" i="11"/>
  <c r="G350" i="11"/>
  <c r="K350" i="11"/>
  <c r="G346" i="11"/>
  <c r="K346" i="11"/>
  <c r="G343" i="11"/>
  <c r="G341" i="11"/>
  <c r="K341" i="11"/>
  <c r="G286" i="11"/>
  <c r="K286" i="11"/>
  <c r="G606" i="11"/>
  <c r="K606" i="11"/>
  <c r="G604" i="11"/>
  <c r="K604" i="11"/>
  <c r="G603" i="11"/>
  <c r="K603" i="11"/>
  <c r="G601" i="11"/>
  <c r="K601" i="11"/>
  <c r="G600" i="11"/>
  <c r="K600" i="11"/>
  <c r="G599" i="11"/>
  <c r="K599" i="11"/>
  <c r="G597" i="11"/>
  <c r="K597" i="11"/>
  <c r="G596" i="11"/>
  <c r="K596" i="11"/>
  <c r="G590" i="11"/>
  <c r="K590" i="11"/>
  <c r="G589" i="11"/>
  <c r="K589" i="11"/>
  <c r="G588" i="11"/>
  <c r="K588" i="11"/>
  <c r="G558" i="11"/>
  <c r="K558" i="11"/>
  <c r="G552" i="11"/>
  <c r="K552" i="11"/>
  <c r="G551" i="11"/>
  <c r="K551" i="11"/>
  <c r="G515" i="11"/>
  <c r="K515" i="11"/>
  <c r="K816" i="11"/>
  <c r="K835" i="11"/>
  <c r="K879" i="11"/>
  <c r="G373" i="11"/>
  <c r="K373" i="11"/>
  <c r="G371" i="11"/>
  <c r="K275" i="11"/>
  <c r="G621" i="11"/>
  <c r="K621" i="11"/>
  <c r="G629" i="11"/>
  <c r="K629" i="11"/>
  <c r="G636" i="11"/>
  <c r="K636" i="11"/>
  <c r="G645" i="11"/>
  <c r="K645" i="11"/>
  <c r="G651" i="11"/>
  <c r="K651" i="11"/>
  <c r="G648" i="11"/>
  <c r="K648" i="11"/>
  <c r="G713" i="11"/>
  <c r="K713" i="11"/>
  <c r="G745" i="11"/>
  <c r="K745" i="11"/>
  <c r="K750" i="11"/>
  <c r="G807" i="11"/>
  <c r="K807" i="11"/>
  <c r="G820" i="11"/>
  <c r="K820" i="11"/>
  <c r="G828" i="11"/>
  <c r="K828" i="11"/>
  <c r="G834" i="11"/>
  <c r="K834" i="11"/>
  <c r="K886" i="11"/>
  <c r="G906" i="11"/>
  <c r="K906" i="11"/>
  <c r="G916" i="11"/>
  <c r="K916" i="11"/>
  <c r="G1051" i="11"/>
  <c r="K1051" i="11"/>
  <c r="G1054" i="11"/>
  <c r="K1054" i="11"/>
  <c r="G1052" i="11"/>
  <c r="K1052" i="11"/>
  <c r="G1056" i="11"/>
  <c r="K1056" i="11"/>
  <c r="G1200" i="11"/>
  <c r="G1244" i="11"/>
  <c r="G1371" i="11"/>
  <c r="K1371" i="11"/>
  <c r="G1434" i="11"/>
  <c r="G1460" i="11"/>
  <c r="K1460" i="11"/>
  <c r="G1466" i="11"/>
  <c r="G1465" i="11"/>
  <c r="K1465" i="11"/>
  <c r="G1468" i="11"/>
  <c r="K1468" i="11"/>
  <c r="G1469" i="11"/>
  <c r="K1469" i="11"/>
  <c r="G1470" i="11"/>
  <c r="G1471" i="11"/>
  <c r="K1471" i="11"/>
  <c r="G1496" i="11"/>
  <c r="K1496" i="11"/>
  <c r="G1497" i="11"/>
  <c r="K1497" i="11"/>
  <c r="G1599" i="11"/>
  <c r="G1819" i="11"/>
  <c r="G1830" i="11"/>
  <c r="G1829" i="11"/>
  <c r="G1842" i="11"/>
  <c r="G1840" i="11"/>
  <c r="G1851" i="11"/>
  <c r="G1977" i="11"/>
  <c r="G2064" i="11"/>
  <c r="G2063" i="11"/>
  <c r="G2071" i="11"/>
  <c r="G1189" i="11"/>
  <c r="G1282" i="11"/>
  <c r="G1316" i="11"/>
  <c r="G1345" i="11"/>
  <c r="K1345" i="11"/>
  <c r="G1616" i="11"/>
  <c r="G1667" i="11"/>
  <c r="K1667" i="11"/>
  <c r="G1803" i="11"/>
  <c r="G1946" i="11"/>
  <c r="G1959" i="11"/>
  <c r="G1957" i="11"/>
  <c r="G1956" i="11"/>
  <c r="G1953" i="11"/>
  <c r="G1960" i="11"/>
  <c r="G2080" i="11"/>
  <c r="G62" i="11"/>
  <c r="K62" i="11"/>
  <c r="G75" i="11"/>
  <c r="K75" i="11"/>
  <c r="G96" i="11"/>
  <c r="K96" i="11"/>
  <c r="G97" i="11"/>
  <c r="K97" i="11"/>
  <c r="G77" i="11"/>
  <c r="G74" i="11"/>
  <c r="K74" i="11"/>
  <c r="G101" i="11"/>
  <c r="G89" i="11"/>
  <c r="G104" i="11"/>
  <c r="K104" i="11"/>
  <c r="G117" i="11"/>
  <c r="K117" i="11"/>
  <c r="G122" i="11"/>
  <c r="G134" i="11"/>
  <c r="K134" i="11"/>
  <c r="G139" i="11"/>
  <c r="K139" i="11"/>
  <c r="G140" i="11"/>
  <c r="K140" i="11"/>
  <c r="G187" i="11"/>
  <c r="G200" i="11"/>
  <c r="K200" i="11"/>
  <c r="G202" i="11"/>
  <c r="G204" i="11"/>
  <c r="K204" i="11"/>
  <c r="G207" i="11"/>
  <c r="G425" i="11"/>
  <c r="K425" i="11"/>
  <c r="G392" i="11"/>
  <c r="G381" i="11"/>
  <c r="K381" i="11"/>
  <c r="G325" i="11"/>
  <c r="G319" i="11"/>
  <c r="G514" i="11"/>
  <c r="G1266" i="11"/>
  <c r="K1266" i="11"/>
  <c r="G1271" i="11"/>
  <c r="G1270" i="11"/>
  <c r="G1574" i="11"/>
  <c r="K1574" i="11"/>
  <c r="G1579" i="11"/>
  <c r="K1579" i="11"/>
  <c r="G1578" i="11"/>
  <c r="K1578" i="11"/>
  <c r="G1580" i="11"/>
  <c r="K1580" i="11"/>
  <c r="G1581" i="11"/>
  <c r="G1745" i="11"/>
  <c r="G1752" i="11"/>
  <c r="G1773" i="11"/>
  <c r="G1908" i="11"/>
  <c r="G1922" i="11"/>
  <c r="G63" i="11"/>
  <c r="K63" i="11"/>
  <c r="G67" i="11"/>
  <c r="G68" i="11"/>
  <c r="K68" i="11"/>
  <c r="G70" i="11"/>
  <c r="K70" i="11"/>
  <c r="G71" i="11"/>
  <c r="K71" i="11"/>
  <c r="G76" i="11"/>
  <c r="K76" i="11"/>
  <c r="G78" i="11"/>
  <c r="K78" i="11"/>
  <c r="D57" i="11"/>
  <c r="G57" i="11"/>
  <c r="K57" i="11"/>
  <c r="G60" i="11"/>
  <c r="K60" i="11"/>
  <c r="G146" i="11"/>
  <c r="K146" i="11"/>
  <c r="G148" i="11"/>
  <c r="K148" i="11"/>
  <c r="G151" i="11"/>
  <c r="K151" i="11"/>
  <c r="G154" i="11"/>
  <c r="K154" i="11"/>
  <c r="G210" i="11"/>
  <c r="K210" i="11"/>
  <c r="G215" i="11"/>
  <c r="K215" i="11"/>
  <c r="G217" i="11"/>
  <c r="K217" i="11"/>
  <c r="K89" i="11"/>
  <c r="G85" i="11"/>
  <c r="K85" i="11"/>
  <c r="K69" i="11"/>
  <c r="G95" i="11"/>
  <c r="K95" i="11"/>
  <c r="K99" i="11"/>
  <c r="G102" i="11"/>
  <c r="K102" i="11"/>
  <c r="G93" i="11"/>
  <c r="K84" i="11"/>
  <c r="G83" i="11"/>
  <c r="G116" i="11"/>
  <c r="G119" i="11"/>
  <c r="K119" i="11"/>
  <c r="G120" i="11"/>
  <c r="K120" i="11"/>
  <c r="G123" i="11"/>
  <c r="G144" i="11"/>
  <c r="K144" i="11"/>
  <c r="G183" i="11"/>
  <c r="G242" i="11"/>
  <c r="K242" i="11"/>
  <c r="G243" i="11"/>
  <c r="K243" i="11"/>
  <c r="G245" i="11"/>
  <c r="K245" i="11"/>
  <c r="G253" i="11"/>
  <c r="G438" i="11"/>
  <c r="K438" i="11"/>
  <c r="G437" i="11"/>
  <c r="G422" i="11"/>
  <c r="G419" i="11"/>
  <c r="K419" i="11"/>
  <c r="G418" i="11"/>
  <c r="G417" i="11"/>
  <c r="K417" i="11"/>
  <c r="G389" i="11"/>
  <c r="K389" i="11"/>
  <c r="G362" i="11"/>
  <c r="K362" i="11"/>
  <c r="G359" i="11"/>
  <c r="K359" i="11"/>
  <c r="K276" i="11"/>
  <c r="K383" i="11"/>
  <c r="G380" i="11"/>
  <c r="K380" i="11"/>
  <c r="K418" i="11"/>
  <c r="K414" i="11"/>
  <c r="K406" i="11"/>
  <c r="G612" i="11"/>
  <c r="K612" i="11"/>
  <c r="G611" i="11"/>
  <c r="K611" i="11"/>
  <c r="G609" i="11"/>
  <c r="K609" i="11"/>
  <c r="G608" i="11"/>
  <c r="K608" i="11"/>
  <c r="G607" i="11"/>
  <c r="K607" i="11"/>
  <c r="G566" i="11"/>
  <c r="K566" i="11"/>
  <c r="G564" i="11"/>
  <c r="K564" i="11"/>
  <c r="G561" i="11"/>
  <c r="K561" i="11"/>
  <c r="G510" i="11"/>
  <c r="G501" i="11"/>
  <c r="K501" i="11"/>
  <c r="G639" i="11"/>
  <c r="K639" i="11"/>
  <c r="G1777" i="11"/>
  <c r="G289" i="11"/>
  <c r="G582" i="11"/>
  <c r="K582" i="11"/>
  <c r="G493" i="11"/>
  <c r="K493" i="11"/>
  <c r="G465" i="11"/>
  <c r="K465" i="11"/>
  <c r="G613" i="11"/>
  <c r="K613" i="11"/>
  <c r="G1876" i="11"/>
  <c r="K22" i="11"/>
  <c r="K20" i="11"/>
  <c r="K18" i="11"/>
  <c r="K12" i="11"/>
  <c r="K6" i="11"/>
  <c r="G173" i="11"/>
  <c r="G172" i="11"/>
  <c r="K172" i="11"/>
  <c r="G171" i="11"/>
  <c r="G170" i="11"/>
  <c r="G196" i="11"/>
  <c r="G229" i="11"/>
  <c r="G236" i="11"/>
  <c r="K236" i="11"/>
  <c r="G238" i="11"/>
  <c r="K238" i="11"/>
  <c r="G455" i="11"/>
  <c r="K455" i="11"/>
  <c r="G427" i="11"/>
  <c r="K427" i="11"/>
  <c r="G415" i="11"/>
  <c r="K415" i="11"/>
  <c r="G413" i="11"/>
  <c r="K413" i="11"/>
  <c r="G376" i="11"/>
  <c r="K376" i="11"/>
  <c r="G375" i="11"/>
  <c r="K375" i="11"/>
  <c r="G315" i="11"/>
  <c r="K315" i="11"/>
  <c r="G313" i="11"/>
  <c r="K313" i="11"/>
  <c r="G311" i="11"/>
  <c r="G306" i="11"/>
  <c r="G303" i="11"/>
  <c r="G302" i="11"/>
  <c r="K302" i="11"/>
  <c r="G296" i="11"/>
  <c r="G293" i="11"/>
  <c r="G290" i="11"/>
  <c r="G288" i="11"/>
  <c r="K288" i="11"/>
  <c r="K262" i="11"/>
  <c r="G587" i="11"/>
  <c r="K587" i="11"/>
  <c r="G584" i="11"/>
  <c r="K584" i="11"/>
  <c r="G550" i="11"/>
  <c r="K550" i="11"/>
  <c r="G549" i="11"/>
  <c r="K549" i="11"/>
  <c r="G545" i="11"/>
  <c r="K545" i="11"/>
  <c r="G539" i="11"/>
  <c r="K539" i="11"/>
  <c r="G538" i="11"/>
  <c r="K538" i="11"/>
  <c r="G537" i="11"/>
  <c r="G536" i="11"/>
  <c r="K536" i="11"/>
  <c r="G535" i="11"/>
  <c r="K535" i="11"/>
  <c r="G534" i="11"/>
  <c r="K534" i="11"/>
  <c r="G533" i="11"/>
  <c r="K533" i="11"/>
  <c r="G531" i="11"/>
  <c r="K531" i="11"/>
  <c r="G530" i="11"/>
  <c r="K530" i="11"/>
  <c r="G521" i="11"/>
  <c r="K521" i="11"/>
  <c r="K759" i="11"/>
  <c r="K753" i="11"/>
  <c r="K743" i="11"/>
  <c r="G776" i="11"/>
  <c r="K776" i="11"/>
  <c r="G777" i="11"/>
  <c r="K777" i="11"/>
  <c r="G778" i="11"/>
  <c r="K778" i="11"/>
  <c r="G781" i="11"/>
  <c r="K781" i="11"/>
  <c r="G780" i="11"/>
  <c r="K780" i="11"/>
  <c r="G779" i="11"/>
  <c r="K779" i="11"/>
  <c r="G782" i="11"/>
  <c r="K782" i="11"/>
  <c r="G783" i="11"/>
  <c r="K783" i="11"/>
  <c r="G784" i="11"/>
  <c r="K784" i="11"/>
  <c r="G785" i="11"/>
  <c r="K785" i="11"/>
  <c r="G788" i="11"/>
  <c r="K788" i="11"/>
  <c r="G787" i="11"/>
  <c r="K787" i="11"/>
  <c r="G786" i="11"/>
  <c r="K786" i="11"/>
  <c r="G789" i="11"/>
  <c r="K789" i="11"/>
  <c r="G790" i="11"/>
  <c r="K790" i="11"/>
  <c r="G792" i="11"/>
  <c r="K792" i="11"/>
  <c r="G795" i="11"/>
  <c r="K795" i="11"/>
  <c r="G794" i="11"/>
  <c r="K794" i="11"/>
  <c r="G793" i="11"/>
  <c r="K793" i="11"/>
  <c r="G796" i="11"/>
  <c r="K796" i="11"/>
  <c r="G797" i="11"/>
  <c r="K797" i="11"/>
  <c r="G798" i="11"/>
  <c r="K798" i="11"/>
  <c r="G799" i="11"/>
  <c r="K799" i="11"/>
  <c r="G802" i="11"/>
  <c r="K802" i="11"/>
  <c r="G800" i="11"/>
  <c r="K800" i="11"/>
  <c r="G952" i="11"/>
  <c r="K952" i="11"/>
  <c r="G953" i="11"/>
  <c r="K953" i="11"/>
  <c r="G956" i="11"/>
  <c r="K956" i="11"/>
  <c r="G225" i="11"/>
  <c r="G226" i="11"/>
  <c r="G267" i="11"/>
  <c r="K267" i="11"/>
  <c r="G270" i="11"/>
  <c r="K270" i="11"/>
  <c r="G271" i="11"/>
  <c r="K271" i="11"/>
  <c r="G272" i="11"/>
  <c r="K272" i="11"/>
  <c r="G273" i="11"/>
  <c r="K273" i="11"/>
  <c r="G274" i="11"/>
  <c r="G277" i="11"/>
  <c r="K277" i="11"/>
  <c r="G279" i="11"/>
  <c r="K279" i="11"/>
  <c r="G432" i="11"/>
  <c r="K432" i="11"/>
  <c r="G388" i="11"/>
  <c r="K388" i="11"/>
  <c r="G332" i="11"/>
  <c r="G328" i="11"/>
  <c r="K328" i="11"/>
  <c r="G327" i="11"/>
  <c r="K327" i="11"/>
  <c r="G326" i="11"/>
  <c r="K326" i="11"/>
  <c r="G316" i="11"/>
  <c r="K316" i="11"/>
  <c r="G1353" i="11"/>
  <c r="G955" i="11"/>
  <c r="K955" i="11"/>
  <c r="G954" i="11"/>
  <c r="K954" i="11"/>
  <c r="G957" i="11"/>
  <c r="K957" i="11"/>
  <c r="G958" i="11"/>
  <c r="G959" i="11"/>
  <c r="K959" i="11"/>
  <c r="G963" i="11"/>
  <c r="G961" i="11"/>
  <c r="K961" i="11"/>
  <c r="G964" i="11"/>
  <c r="K964" i="11"/>
  <c r="G965" i="11"/>
  <c r="K965" i="11"/>
  <c r="G967" i="11"/>
  <c r="G970" i="11"/>
  <c r="K970" i="11"/>
  <c r="G969" i="11"/>
  <c r="K969" i="11"/>
  <c r="G968" i="11"/>
  <c r="K968" i="11"/>
  <c r="G971" i="11"/>
  <c r="K971" i="11"/>
  <c r="G972" i="11"/>
  <c r="G973" i="11"/>
  <c r="K973" i="11"/>
  <c r="G974" i="11"/>
  <c r="K974" i="11"/>
  <c r="G977" i="11"/>
  <c r="G976" i="11"/>
  <c r="G975" i="11"/>
  <c r="K975" i="11"/>
  <c r="G978" i="11"/>
  <c r="K978" i="11"/>
  <c r="G1243" i="11"/>
  <c r="K1243" i="11"/>
  <c r="G1249" i="11"/>
  <c r="K1249" i="11"/>
  <c r="G1296" i="11"/>
  <c r="K1296" i="11"/>
  <c r="G1306" i="11"/>
  <c r="K1306" i="11"/>
  <c r="G1304" i="11"/>
  <c r="K1304" i="11"/>
  <c r="G1347" i="11"/>
  <c r="K1347" i="11"/>
  <c r="G1416" i="11"/>
  <c r="K1416" i="11"/>
  <c r="G1421" i="11"/>
  <c r="K1421" i="11"/>
  <c r="G1422" i="11"/>
  <c r="K1422" i="11"/>
  <c r="G1432" i="11"/>
  <c r="G1461" i="11"/>
  <c r="K1461" i="11"/>
  <c r="G1582" i="11"/>
  <c r="K1582" i="11"/>
  <c r="G1601" i="11"/>
  <c r="G1604" i="11"/>
  <c r="K1604" i="11"/>
  <c r="G1644" i="11"/>
  <c r="K1644" i="11"/>
  <c r="G1646" i="11"/>
  <c r="K1646" i="11"/>
  <c r="G1669" i="11"/>
  <c r="K1669" i="11"/>
  <c r="G1668" i="11"/>
  <c r="K1668" i="11"/>
  <c r="G1673" i="11"/>
  <c r="K1673" i="11"/>
  <c r="G1677" i="11"/>
  <c r="K1677" i="11"/>
  <c r="G1679" i="11"/>
  <c r="K1679" i="11"/>
  <c r="G1695" i="11"/>
  <c r="G1743" i="11"/>
  <c r="G1742" i="11"/>
  <c r="G1767" i="11"/>
  <c r="G1766" i="11"/>
  <c r="G1763" i="11"/>
  <c r="G1791" i="11"/>
  <c r="G1820" i="11"/>
  <c r="G1844" i="11"/>
  <c r="G1864" i="11"/>
  <c r="G1862" i="11"/>
  <c r="G1861" i="11"/>
  <c r="G1872" i="11"/>
  <c r="G1880" i="11"/>
  <c r="G1892" i="11"/>
  <c r="G1913" i="11"/>
  <c r="G1912" i="11"/>
  <c r="G1909" i="11"/>
  <c r="G1923" i="11"/>
  <c r="G1947" i="11"/>
  <c r="G1975" i="11"/>
  <c r="G1974" i="11"/>
  <c r="G2072" i="11"/>
  <c r="G2083" i="11"/>
  <c r="G2082" i="11"/>
  <c r="G1198" i="11"/>
  <c r="K1198" i="11"/>
  <c r="G1208" i="11"/>
  <c r="K1208" i="11"/>
  <c r="G1212" i="11"/>
  <c r="K1212" i="11"/>
  <c r="G1217" i="11"/>
  <c r="K1217" i="11"/>
  <c r="G1218" i="11"/>
  <c r="K1218" i="11"/>
  <c r="K1200" i="11"/>
  <c r="G1230" i="11"/>
  <c r="K1230" i="11"/>
  <c r="G1235" i="11"/>
  <c r="G1361" i="11"/>
  <c r="K1361" i="11"/>
  <c r="G1378" i="11"/>
  <c r="K1378" i="11"/>
  <c r="G1368" i="11"/>
  <c r="G1350" i="11"/>
  <c r="G1381" i="11"/>
  <c r="K1381" i="11"/>
  <c r="G1397" i="11"/>
  <c r="K1397" i="11"/>
  <c r="G1398" i="11"/>
  <c r="K1398" i="11"/>
  <c r="G1407" i="11"/>
  <c r="K1407" i="11"/>
  <c r="G1528" i="11"/>
  <c r="K1528" i="11"/>
  <c r="G1546" i="11"/>
  <c r="K1546" i="11"/>
  <c r="G1666" i="11"/>
  <c r="K1666" i="11"/>
  <c r="G1746" i="11"/>
  <c r="G1759" i="11"/>
  <c r="G1757" i="11"/>
  <c r="G1755" i="11"/>
  <c r="G1769" i="11"/>
  <c r="G1768" i="11"/>
  <c r="G1788" i="11"/>
  <c r="G1787" i="11"/>
  <c r="G1784" i="11"/>
  <c r="G1783" i="11"/>
  <c r="G1796" i="11"/>
  <c r="G1797" i="11"/>
  <c r="G1807" i="11"/>
  <c r="G1835" i="11"/>
  <c r="G1845" i="11"/>
  <c r="G1856" i="11"/>
  <c r="G1887" i="11"/>
  <c r="G1886" i="11"/>
  <c r="G1891" i="11"/>
  <c r="G1916" i="11"/>
  <c r="G1928" i="11"/>
  <c r="G1978" i="11"/>
  <c r="G2081" i="11"/>
  <c r="G1058" i="11"/>
  <c r="K1058" i="11"/>
  <c r="G1061" i="11"/>
  <c r="K1061" i="11"/>
  <c r="G1067" i="11"/>
  <c r="K1067" i="11"/>
  <c r="G1077" i="11"/>
  <c r="K1077" i="11"/>
  <c r="G1078" i="11"/>
  <c r="K1078" i="11"/>
  <c r="G1082" i="11"/>
  <c r="K1082" i="11"/>
  <c r="G1080" i="11"/>
  <c r="K1080" i="11"/>
  <c r="G1083" i="11"/>
  <c r="K1083" i="11"/>
  <c r="G1085" i="11"/>
  <c r="K1085" i="11"/>
  <c r="G1089" i="11"/>
  <c r="K1089" i="11"/>
  <c r="G1090" i="11"/>
  <c r="K1090" i="11"/>
  <c r="G1095" i="11"/>
  <c r="K1095" i="11"/>
  <c r="G1094" i="11"/>
  <c r="K1094" i="11"/>
  <c r="G1246" i="11"/>
  <c r="K1246" i="11"/>
  <c r="G1250" i="11"/>
  <c r="K1250" i="11"/>
  <c r="G1269" i="11"/>
  <c r="K1269" i="11"/>
  <c r="G1275" i="11"/>
  <c r="K1275" i="11"/>
  <c r="G1355" i="11"/>
  <c r="K1355" i="11"/>
  <c r="G1376" i="11"/>
  <c r="K1376" i="11"/>
  <c r="G1375" i="11"/>
  <c r="K1375" i="11"/>
  <c r="G1524" i="11"/>
  <c r="K1524" i="11"/>
  <c r="G1527" i="11"/>
  <c r="K1527" i="11"/>
  <c r="G1558" i="11"/>
  <c r="K1558" i="11"/>
  <c r="G1587" i="11"/>
  <c r="K1587" i="11"/>
  <c r="E3" i="11"/>
  <c r="G1664" i="11"/>
  <c r="K1664" i="11"/>
  <c r="G1665" i="11"/>
  <c r="G1686" i="11"/>
  <c r="G1714" i="11"/>
  <c r="G1715" i="11"/>
  <c r="G1718" i="11"/>
  <c r="G1721" i="11"/>
  <c r="G1720" i="11"/>
  <c r="G1725" i="11"/>
  <c r="G1724" i="11"/>
  <c r="G1726" i="11"/>
  <c r="G1730" i="11"/>
  <c r="G1748" i="11"/>
  <c r="G1760" i="11"/>
  <c r="G1778" i="11"/>
  <c r="G1800" i="11"/>
  <c r="G1799" i="11"/>
  <c r="G1817" i="11"/>
  <c r="G1838" i="11"/>
  <c r="G1848" i="11"/>
  <c r="G1877" i="11"/>
  <c r="G1902" i="11"/>
  <c r="G1901" i="11"/>
  <c r="G1920" i="11"/>
  <c r="G1919" i="11"/>
  <c r="G1961" i="11"/>
  <c r="G2074" i="11"/>
  <c r="G2099" i="11"/>
  <c r="G2097" i="11"/>
  <c r="G2096" i="11"/>
  <c r="K83" i="11"/>
  <c r="G1663" i="11"/>
  <c r="K1663" i="11"/>
  <c r="G61" i="11"/>
  <c r="K61" i="11"/>
  <c r="G209" i="11"/>
  <c r="K209" i="11"/>
  <c r="K207" i="11"/>
  <c r="G224" i="11"/>
  <c r="K224" i="11"/>
  <c r="G228" i="11"/>
  <c r="K228" i="11"/>
  <c r="D402" i="11"/>
  <c r="G402" i="11"/>
  <c r="K402" i="11"/>
  <c r="E4" i="11"/>
  <c r="K395" i="11"/>
  <c r="K47" i="11"/>
  <c r="K25" i="11"/>
  <c r="K9" i="11"/>
  <c r="K55" i="11"/>
  <c r="K131" i="11"/>
  <c r="K173" i="11"/>
  <c r="G314" i="11"/>
  <c r="K314" i="11"/>
  <c r="G91" i="11"/>
  <c r="K91" i="11"/>
  <c r="F4" i="11"/>
  <c r="F3" i="11"/>
  <c r="G1717" i="11"/>
  <c r="K757" i="11"/>
  <c r="G615" i="11"/>
  <c r="K615" i="11"/>
  <c r="G114" i="11"/>
  <c r="G126" i="11"/>
  <c r="K126" i="11"/>
  <c r="G132" i="11"/>
  <c r="K132" i="11"/>
  <c r="G129" i="11"/>
  <c r="G137" i="11"/>
  <c r="G281" i="11"/>
  <c r="K281" i="11"/>
  <c r="G457" i="11"/>
  <c r="K422" i="11"/>
  <c r="K899" i="11"/>
  <c r="K522" i="11"/>
  <c r="K920" i="11"/>
  <c r="K762" i="11"/>
  <c r="G37" i="11"/>
  <c r="G39" i="11"/>
  <c r="K39" i="11"/>
  <c r="G41" i="11"/>
  <c r="K41" i="11"/>
  <c r="G42" i="11"/>
  <c r="K42" i="11"/>
  <c r="G44" i="11"/>
  <c r="K44" i="11"/>
  <c r="G26" i="11"/>
  <c r="K26" i="11"/>
  <c r="G103" i="11"/>
  <c r="K196" i="11"/>
  <c r="K183" i="11"/>
  <c r="G179" i="11"/>
  <c r="G169" i="11"/>
  <c r="K169" i="11"/>
  <c r="G197" i="11"/>
  <c r="K202" i="11"/>
  <c r="G266" i="11"/>
  <c r="K266" i="11"/>
  <c r="G280" i="11"/>
  <c r="K280" i="11"/>
  <c r="G435" i="11"/>
  <c r="K435" i="11"/>
  <c r="G434" i="11"/>
  <c r="K434" i="11"/>
  <c r="G431" i="11"/>
  <c r="K431" i="11"/>
  <c r="G390" i="11"/>
  <c r="K390" i="11"/>
  <c r="G357" i="11"/>
  <c r="K357" i="11"/>
  <c r="G353" i="11"/>
  <c r="K353" i="11"/>
  <c r="K319" i="11"/>
  <c r="K510" i="11"/>
  <c r="K1028" i="11"/>
  <c r="K1116" i="11"/>
  <c r="K1180" i="11"/>
  <c r="K1170" i="11"/>
  <c r="K506" i="11"/>
  <c r="G764" i="11"/>
  <c r="K764" i="11"/>
  <c r="G765" i="11"/>
  <c r="K765" i="11"/>
  <c r="G155" i="11"/>
  <c r="K155" i="11"/>
  <c r="G189" i="11"/>
  <c r="K189" i="11"/>
  <c r="G190" i="11"/>
  <c r="K190" i="11"/>
  <c r="G193" i="11"/>
  <c r="K193" i="11"/>
  <c r="G180" i="11"/>
  <c r="K180" i="11"/>
  <c r="G216" i="11"/>
  <c r="K216" i="11"/>
  <c r="G218" i="11"/>
  <c r="K218" i="11"/>
  <c r="G211" i="11"/>
  <c r="K211" i="11"/>
  <c r="G232" i="11"/>
  <c r="K232" i="11"/>
  <c r="G248" i="11"/>
  <c r="G233" i="11"/>
  <c r="G219" i="11"/>
  <c r="G220" i="11"/>
  <c r="G259" i="11"/>
  <c r="K259" i="11"/>
  <c r="G453" i="11"/>
  <c r="K453" i="11"/>
  <c r="G452" i="11"/>
  <c r="K452" i="11"/>
  <c r="G451" i="11"/>
  <c r="G448" i="11"/>
  <c r="K448" i="11"/>
  <c r="G447" i="11"/>
  <c r="K447" i="11"/>
  <c r="G441" i="11"/>
  <c r="K441" i="11"/>
  <c r="G408" i="11"/>
  <c r="K408" i="11"/>
  <c r="G404" i="11"/>
  <c r="K404" i="11"/>
  <c r="G399" i="11"/>
  <c r="K399" i="11"/>
  <c r="G397" i="11"/>
  <c r="K397" i="11"/>
  <c r="K371" i="11"/>
  <c r="K343" i="11"/>
  <c r="G339" i="11"/>
  <c r="G333" i="11"/>
  <c r="G403" i="11"/>
  <c r="K403" i="11"/>
  <c r="G583" i="11"/>
  <c r="K583" i="11"/>
  <c r="G572" i="11"/>
  <c r="K572" i="11"/>
  <c r="G379" i="11"/>
  <c r="K379" i="11"/>
  <c r="G378" i="11"/>
  <c r="K378" i="11"/>
  <c r="G377" i="11"/>
  <c r="K377" i="11"/>
  <c r="G372" i="11"/>
  <c r="K372" i="11"/>
  <c r="G368" i="11"/>
  <c r="K368" i="11"/>
  <c r="G366" i="11"/>
  <c r="K366" i="11"/>
  <c r="G363" i="11"/>
  <c r="K363" i="11"/>
  <c r="G360" i="11"/>
  <c r="K360" i="11"/>
  <c r="G355" i="11"/>
  <c r="K355" i="11"/>
  <c r="G351" i="11"/>
  <c r="K351" i="11"/>
  <c r="G348" i="11"/>
  <c r="K348" i="11"/>
  <c r="G347" i="11"/>
  <c r="K347" i="11"/>
  <c r="G338" i="11"/>
  <c r="K338" i="11"/>
  <c r="G335" i="11"/>
  <c r="K335" i="11"/>
  <c r="G317" i="11"/>
  <c r="G309" i="11"/>
  <c r="G308" i="11"/>
  <c r="G307" i="11"/>
  <c r="G297" i="11"/>
  <c r="G282" i="11"/>
  <c r="K303" i="11"/>
  <c r="K333" i="11"/>
  <c r="K323" i="11"/>
  <c r="G602" i="11"/>
  <c r="K602" i="11"/>
  <c r="G595" i="11"/>
  <c r="K595" i="11"/>
  <c r="G591" i="11"/>
  <c r="K591" i="11"/>
  <c r="G576" i="11"/>
  <c r="G565" i="11"/>
  <c r="K565" i="11"/>
  <c r="G544" i="11"/>
  <c r="K544" i="11"/>
  <c r="G543" i="11"/>
  <c r="K543" i="11"/>
  <c r="G542" i="11"/>
  <c r="K542" i="11"/>
  <c r="G541" i="11"/>
  <c r="K541" i="11"/>
  <c r="G540" i="11"/>
  <c r="K540" i="11"/>
  <c r="G529" i="11"/>
  <c r="K529" i="11"/>
  <c r="G527" i="11"/>
  <c r="K527" i="11"/>
  <c r="K1039" i="11"/>
  <c r="K1036" i="11"/>
  <c r="K1031" i="11"/>
  <c r="K1027" i="11"/>
  <c r="K1022" i="11"/>
  <c r="K1017" i="11"/>
  <c r="K1013" i="11"/>
  <c r="G1047" i="11"/>
  <c r="K1047" i="11"/>
  <c r="G1046" i="11"/>
  <c r="K1046" i="11"/>
  <c r="G1045" i="11"/>
  <c r="K1045" i="11"/>
  <c r="G1062" i="11"/>
  <c r="K1062" i="11"/>
  <c r="G1066" i="11"/>
  <c r="K1066" i="11"/>
  <c r="G1069" i="11"/>
  <c r="K1069" i="11"/>
  <c r="G1070" i="11"/>
  <c r="K1070" i="11"/>
  <c r="G1075" i="11"/>
  <c r="K1075" i="11"/>
  <c r="G1074" i="11"/>
  <c r="K1074" i="11"/>
  <c r="G1073" i="11"/>
  <c r="K1073" i="11"/>
  <c r="G1072" i="11"/>
  <c r="K1072" i="11"/>
  <c r="G1071" i="11"/>
  <c r="K1071" i="11"/>
  <c r="K1189" i="11"/>
  <c r="G1228" i="11"/>
  <c r="K1228" i="11"/>
  <c r="G1227" i="11"/>
  <c r="K1227" i="11"/>
  <c r="G1236" i="11"/>
  <c r="K1236" i="11"/>
  <c r="G1372" i="11"/>
  <c r="G1364" i="11"/>
  <c r="K1364" i="11"/>
  <c r="G1384" i="11"/>
  <c r="K1384" i="11"/>
  <c r="G1399" i="11"/>
  <c r="G1454" i="11"/>
  <c r="K1454" i="11"/>
  <c r="G1456" i="11"/>
  <c r="K1456" i="11"/>
  <c r="G1658" i="11"/>
  <c r="K1658" i="11"/>
  <c r="K748" i="11"/>
  <c r="G29" i="11"/>
  <c r="K29" i="11"/>
  <c r="G54" i="11"/>
  <c r="K54" i="11"/>
  <c r="G90" i="11"/>
  <c r="K90" i="11"/>
  <c r="G82" i="11"/>
  <c r="K82" i="11"/>
  <c r="G81" i="11"/>
  <c r="K81" i="11"/>
  <c r="G105" i="11"/>
  <c r="K105" i="11"/>
  <c r="K103" i="11"/>
  <c r="G106" i="11"/>
  <c r="K106" i="11"/>
  <c r="G109" i="11"/>
  <c r="K109" i="11"/>
  <c r="G110" i="11"/>
  <c r="K110" i="11"/>
  <c r="G111" i="11"/>
  <c r="G112" i="11"/>
  <c r="K112" i="11"/>
  <c r="G115" i="11"/>
  <c r="G118" i="11"/>
  <c r="K118" i="11"/>
  <c r="K123" i="11"/>
  <c r="G188" i="11"/>
  <c r="G186" i="11"/>
  <c r="K186" i="11"/>
  <c r="G175" i="11"/>
  <c r="K175" i="11"/>
  <c r="G167" i="11"/>
  <c r="K167" i="11"/>
  <c r="G195" i="11"/>
  <c r="K195" i="11"/>
  <c r="K197" i="11"/>
  <c r="G201" i="11"/>
  <c r="K201" i="11"/>
  <c r="G203" i="11"/>
  <c r="K203" i="11"/>
  <c r="G214" i="11"/>
  <c r="G227" i="11"/>
  <c r="G231" i="11"/>
  <c r="K231" i="11"/>
  <c r="G239" i="11"/>
  <c r="K239" i="11"/>
  <c r="G240" i="11"/>
  <c r="G250" i="11"/>
  <c r="K250" i="11"/>
  <c r="G251" i="11"/>
  <c r="K251" i="11"/>
  <c r="G252" i="11"/>
  <c r="K252" i="11"/>
  <c r="G221" i="11"/>
  <c r="K221" i="11"/>
  <c r="G265" i="11"/>
  <c r="K265" i="11"/>
  <c r="G456" i="11"/>
  <c r="K456" i="11"/>
  <c r="G428" i="11"/>
  <c r="G420" i="11"/>
  <c r="G416" i="11"/>
  <c r="K416" i="11"/>
  <c r="G394" i="11"/>
  <c r="K394" i="11"/>
  <c r="G386" i="11"/>
  <c r="K386" i="11"/>
  <c r="G382" i="11"/>
  <c r="K382" i="11"/>
  <c r="G374" i="11"/>
  <c r="K374" i="11"/>
  <c r="G369" i="11"/>
  <c r="K369" i="11"/>
  <c r="G361" i="11"/>
  <c r="K361" i="11"/>
  <c r="G356" i="11"/>
  <c r="K356" i="11"/>
  <c r="G345" i="11"/>
  <c r="K345" i="11"/>
  <c r="G342" i="11"/>
  <c r="K342" i="11"/>
  <c r="G340" i="11"/>
  <c r="K340" i="11"/>
  <c r="G336" i="11"/>
  <c r="K336" i="11"/>
  <c r="G329" i="11"/>
  <c r="K329" i="11"/>
  <c r="G321" i="11"/>
  <c r="K321" i="11"/>
  <c r="G320" i="11"/>
  <c r="K320" i="11"/>
  <c r="G318" i="11"/>
  <c r="G294" i="11"/>
  <c r="G278" i="11"/>
  <c r="K278" i="11"/>
  <c r="K428" i="11"/>
  <c r="G580" i="11"/>
  <c r="K580" i="11"/>
  <c r="G579" i="11"/>
  <c r="K579" i="11"/>
  <c r="G578" i="11"/>
  <c r="K578" i="11"/>
  <c r="G577" i="11"/>
  <c r="K577" i="11"/>
  <c r="G570" i="11"/>
  <c r="K570" i="11"/>
  <c r="G569" i="11"/>
  <c r="K569" i="11"/>
  <c r="G568" i="11"/>
  <c r="K568" i="11"/>
  <c r="G567" i="11"/>
  <c r="K567" i="11"/>
  <c r="G532" i="11"/>
  <c r="K532" i="11"/>
  <c r="G479" i="11"/>
  <c r="K479" i="11"/>
  <c r="K976" i="11"/>
  <c r="K977" i="11"/>
  <c r="K972" i="11"/>
  <c r="K967" i="11"/>
  <c r="K963" i="11"/>
  <c r="K958" i="11"/>
  <c r="K949" i="11"/>
  <c r="G984" i="11"/>
  <c r="K984" i="11"/>
  <c r="G983" i="11"/>
  <c r="K983" i="11"/>
  <c r="G987" i="11"/>
  <c r="K987" i="11"/>
  <c r="G988" i="11"/>
  <c r="K988" i="11"/>
  <c r="G990" i="11"/>
  <c r="K990" i="11"/>
  <c r="G993" i="11"/>
  <c r="K993" i="11"/>
  <c r="G994" i="11"/>
  <c r="K994" i="11"/>
  <c r="G995" i="11"/>
  <c r="K995" i="11"/>
  <c r="G996" i="11"/>
  <c r="K996" i="11"/>
  <c r="G999" i="11"/>
  <c r="K999" i="11"/>
  <c r="G998" i="11"/>
  <c r="K998" i="11"/>
  <c r="G1000" i="11"/>
  <c r="K1000" i="11"/>
  <c r="G1008" i="11"/>
  <c r="K1008" i="11"/>
  <c r="G1007" i="11"/>
  <c r="K1007" i="11"/>
  <c r="G1004" i="11"/>
  <c r="K1004" i="11"/>
  <c r="G1003" i="11"/>
  <c r="K1003" i="11"/>
  <c r="G1002" i="11"/>
  <c r="K1002" i="11"/>
  <c r="G1001" i="11"/>
  <c r="G1009" i="11"/>
  <c r="K1009" i="11"/>
  <c r="G1012" i="11"/>
  <c r="K1012" i="11"/>
  <c r="G1011" i="11"/>
  <c r="K1011" i="11"/>
  <c r="G1010" i="11"/>
  <c r="K1010" i="11"/>
  <c r="G1014" i="11"/>
  <c r="K1014" i="11"/>
  <c r="G1015" i="11"/>
  <c r="K1015" i="11"/>
  <c r="G1016" i="11"/>
  <c r="K1016" i="11"/>
  <c r="K1005" i="11"/>
  <c r="K992" i="11"/>
  <c r="K982" i="11"/>
  <c r="G1161" i="11"/>
  <c r="K1161" i="11"/>
  <c r="K1353" i="11"/>
  <c r="K1434" i="11"/>
  <c r="G1447" i="11"/>
  <c r="K1447" i="11"/>
  <c r="G1452" i="11"/>
  <c r="K1452" i="11"/>
  <c r="G1451" i="11"/>
  <c r="G1647" i="11"/>
  <c r="K1647" i="11"/>
  <c r="K1166" i="11"/>
  <c r="K15" i="11"/>
  <c r="G43" i="11"/>
  <c r="K43" i="11"/>
  <c r="G53" i="11"/>
  <c r="K53" i="11"/>
  <c r="K116" i="11"/>
  <c r="G147" i="11"/>
  <c r="K147" i="11"/>
  <c r="G153" i="11"/>
  <c r="G156" i="11"/>
  <c r="K156" i="11"/>
  <c r="G182" i="11"/>
  <c r="K182" i="11"/>
  <c r="G168" i="11"/>
  <c r="G160" i="11"/>
  <c r="G159" i="11"/>
  <c r="K159" i="11"/>
  <c r="G208" i="11"/>
  <c r="K208" i="11"/>
  <c r="G235" i="11"/>
  <c r="K235" i="11"/>
  <c r="G237" i="11"/>
  <c r="K237" i="11"/>
  <c r="G241" i="11"/>
  <c r="G257" i="11"/>
  <c r="K257" i="11"/>
  <c r="G263" i="11"/>
  <c r="K263" i="11"/>
  <c r="G450" i="11"/>
  <c r="G446" i="11"/>
  <c r="K446" i="11"/>
  <c r="G442" i="11"/>
  <c r="K442" i="11"/>
  <c r="G436" i="11"/>
  <c r="G433" i="11"/>
  <c r="K433" i="11"/>
  <c r="G429" i="11"/>
  <c r="K429" i="11"/>
  <c r="G426" i="11"/>
  <c r="K426" i="11"/>
  <c r="G423" i="11"/>
  <c r="K423" i="11"/>
  <c r="G411" i="11"/>
  <c r="K411" i="11"/>
  <c r="G410" i="11"/>
  <c r="K410" i="11"/>
  <c r="G396" i="11"/>
  <c r="K396" i="11"/>
  <c r="G391" i="11"/>
  <c r="K391" i="11"/>
  <c r="G370" i="11"/>
  <c r="K370" i="11"/>
  <c r="G367" i="11"/>
  <c r="K367" i="11"/>
  <c r="G365" i="11"/>
  <c r="K365" i="11"/>
  <c r="G337" i="11"/>
  <c r="K337" i="11"/>
  <c r="G324" i="11"/>
  <c r="G304" i="11"/>
  <c r="G292" i="11"/>
  <c r="K292" i="11"/>
  <c r="G285" i="11"/>
  <c r="K285" i="11"/>
  <c r="K269" i="11"/>
  <c r="G385" i="11"/>
  <c r="K385" i="11"/>
  <c r="G605" i="11"/>
  <c r="K605" i="11"/>
  <c r="G598" i="11"/>
  <c r="K598" i="11"/>
  <c r="G594" i="11"/>
  <c r="K594" i="11"/>
  <c r="G593" i="11"/>
  <c r="K593" i="11"/>
  <c r="G592" i="11"/>
  <c r="K592" i="11"/>
  <c r="G586" i="11"/>
  <c r="K586" i="11"/>
  <c r="G574" i="11"/>
  <c r="K574" i="11"/>
  <c r="G571" i="11"/>
  <c r="K571" i="11"/>
  <c r="G559" i="11"/>
  <c r="K559" i="11"/>
  <c r="G555" i="11"/>
  <c r="K555" i="11"/>
  <c r="G546" i="11"/>
  <c r="K546" i="11"/>
  <c r="G494" i="11"/>
  <c r="K494" i="11"/>
  <c r="G473" i="11"/>
  <c r="K473" i="11"/>
  <c r="G472" i="11"/>
  <c r="K472" i="11"/>
  <c r="G471" i="11"/>
  <c r="K471" i="11"/>
  <c r="G470" i="11"/>
  <c r="K470" i="11"/>
  <c r="G460" i="11"/>
  <c r="G618" i="11"/>
  <c r="K618" i="11"/>
  <c r="G742" i="11"/>
  <c r="K742" i="11"/>
  <c r="G854" i="11"/>
  <c r="K854" i="11"/>
  <c r="G883" i="11"/>
  <c r="G1239" i="11"/>
  <c r="K1239" i="11"/>
  <c r="G1245" i="11"/>
  <c r="K1245" i="11"/>
  <c r="G1570" i="11"/>
  <c r="K1570" i="11"/>
  <c r="G1588" i="11"/>
  <c r="K1588" i="11"/>
  <c r="G1589" i="11"/>
  <c r="K1589" i="11"/>
  <c r="G1609" i="11"/>
  <c r="K1609" i="11"/>
  <c r="G1615" i="11"/>
  <c r="K1615" i="11"/>
  <c r="G1603" i="11"/>
  <c r="K1603" i="11"/>
  <c r="K1601" i="11"/>
  <c r="G1625" i="11"/>
  <c r="G1637" i="11"/>
  <c r="K1637" i="11"/>
  <c r="G1659" i="11"/>
  <c r="K1659" i="11"/>
  <c r="G1662" i="11"/>
  <c r="G1661" i="11"/>
  <c r="G1709" i="11"/>
  <c r="G1716" i="11"/>
  <c r="G1810" i="11"/>
  <c r="G1881" i="11"/>
  <c r="G2088" i="11"/>
  <c r="G500" i="11"/>
  <c r="K500" i="11"/>
  <c r="G499" i="11"/>
  <c r="K499" i="11"/>
  <c r="G498" i="11"/>
  <c r="K498" i="11"/>
  <c r="G496" i="11"/>
  <c r="K496" i="11"/>
  <c r="G495" i="11"/>
  <c r="K495" i="11"/>
  <c r="G488" i="11"/>
  <c r="K488" i="11"/>
  <c r="G484" i="11"/>
  <c r="K484" i="11"/>
  <c r="G478" i="11"/>
  <c r="K478" i="11"/>
  <c r="G475" i="11"/>
  <c r="K475" i="11"/>
  <c r="G462" i="11"/>
  <c r="K462" i="11"/>
  <c r="K537" i="11"/>
  <c r="K576" i="11"/>
  <c r="G616" i="11"/>
  <c r="K616" i="11"/>
  <c r="G1096" i="11"/>
  <c r="K1096" i="11"/>
  <c r="G1141" i="11"/>
  <c r="K1141" i="11"/>
  <c r="G1234" i="11"/>
  <c r="K1234" i="11"/>
  <c r="G1274" i="11"/>
  <c r="K1274" i="11"/>
  <c r="G1277" i="11"/>
  <c r="K1277" i="11"/>
  <c r="G1354" i="11"/>
  <c r="K1354" i="11"/>
  <c r="K1316" i="11"/>
  <c r="G1357" i="11"/>
  <c r="K1357" i="11"/>
  <c r="G1362" i="11"/>
  <c r="K1362" i="11"/>
  <c r="G1366" i="11"/>
  <c r="K1366" i="11"/>
  <c r="G1370" i="11"/>
  <c r="K1370" i="11"/>
  <c r="G1373" i="11"/>
  <c r="K1373" i="11"/>
  <c r="G1424" i="11"/>
  <c r="K1424" i="11"/>
  <c r="K1414" i="11"/>
  <c r="G1459" i="11"/>
  <c r="K1451" i="11"/>
  <c r="K1448" i="11"/>
  <c r="G1533" i="11"/>
  <c r="K1533" i="11"/>
  <c r="G1554" i="11"/>
  <c r="K1554" i="11"/>
  <c r="G1568" i="11"/>
  <c r="K1568" i="11"/>
  <c r="G1569" i="11"/>
  <c r="K1569" i="11"/>
  <c r="G1591" i="11"/>
  <c r="G1598" i="11"/>
  <c r="K1598" i="11"/>
  <c r="G1613" i="11"/>
  <c r="K1613" i="11"/>
  <c r="G1612" i="11"/>
  <c r="K1612" i="11"/>
  <c r="G1627" i="11"/>
  <c r="K1661" i="11"/>
  <c r="G1687" i="11"/>
  <c r="G1694" i="11"/>
  <c r="G1736" i="11"/>
  <c r="G1751" i="11"/>
  <c r="G1825" i="11"/>
  <c r="G1836" i="11"/>
  <c r="G1897" i="11"/>
  <c r="G1915" i="11"/>
  <c r="G463" i="11"/>
  <c r="K463" i="11"/>
  <c r="G865" i="11"/>
  <c r="K865" i="11"/>
  <c r="G895" i="11"/>
  <c r="K895" i="11"/>
  <c r="G1059" i="11"/>
  <c r="K1059" i="11"/>
  <c r="G1118" i="11"/>
  <c r="K1118" i="11"/>
  <c r="G1233" i="11"/>
  <c r="K1233" i="11"/>
  <c r="G1242" i="11"/>
  <c r="K1242" i="11"/>
  <c r="G1265" i="11"/>
  <c r="K1265" i="11"/>
  <c r="G1309" i="11"/>
  <c r="K1309" i="11"/>
  <c r="G1365" i="11"/>
  <c r="K1365" i="11"/>
  <c r="K1372" i="11"/>
  <c r="K1399" i="11"/>
  <c r="G1418" i="11"/>
  <c r="K1418" i="11"/>
  <c r="G1435" i="11"/>
  <c r="K1435" i="11"/>
  <c r="G1440" i="11"/>
  <c r="K1440" i="11"/>
  <c r="G1438" i="11"/>
  <c r="K1438" i="11"/>
  <c r="G1462" i="11"/>
  <c r="K1462" i="11"/>
  <c r="G1540" i="11"/>
  <c r="K1540" i="11"/>
  <c r="G1529" i="11"/>
  <c r="K1529" i="11"/>
  <c r="G1590" i="11"/>
  <c r="K1590" i="11"/>
  <c r="G1594" i="11"/>
  <c r="K1594" i="11"/>
  <c r="G1595" i="11"/>
  <c r="K1595" i="11"/>
  <c r="G1597" i="11"/>
  <c r="K1597" i="11"/>
  <c r="G1674" i="11"/>
  <c r="K1674" i="11"/>
  <c r="K1665" i="11"/>
  <c r="G1688" i="11"/>
  <c r="G1772" i="11"/>
  <c r="G1846" i="11"/>
  <c r="G1937" i="11"/>
  <c r="G1927" i="11"/>
  <c r="G2092" i="11"/>
  <c r="G1727" i="11"/>
  <c r="G1747" i="11"/>
  <c r="G1735" i="11"/>
  <c r="G1734" i="11"/>
  <c r="G1761" i="11"/>
  <c r="G1762" i="11"/>
  <c r="G1775" i="11"/>
  <c r="G1782" i="11"/>
  <c r="G1794" i="11"/>
  <c r="G1793" i="11"/>
  <c r="G1792" i="11"/>
  <c r="G1804" i="11"/>
  <c r="G1809" i="11"/>
  <c r="G1808" i="11"/>
  <c r="G1821" i="11"/>
  <c r="G1832" i="11"/>
  <c r="G1831" i="11"/>
  <c r="G1833" i="11"/>
  <c r="G1850" i="11"/>
  <c r="G1849" i="11"/>
  <c r="G1857" i="11"/>
  <c r="G1871" i="11"/>
  <c r="G1870" i="11"/>
  <c r="G1878" i="11"/>
  <c r="G1894" i="11"/>
  <c r="G1888" i="11"/>
  <c r="G1896" i="11"/>
  <c r="G1910" i="11"/>
  <c r="G1934" i="11"/>
  <c r="G1933" i="11"/>
  <c r="G1942" i="11"/>
  <c r="G1952" i="11"/>
  <c r="G1951" i="11"/>
  <c r="G1965" i="11"/>
  <c r="G2075" i="11"/>
  <c r="G2085" i="11"/>
  <c r="G2084" i="11"/>
  <c r="G2100" i="11"/>
  <c r="G1681" i="11"/>
  <c r="G1691" i="11"/>
  <c r="G1692" i="11"/>
  <c r="G1733" i="11"/>
  <c r="G1732" i="11"/>
  <c r="G1750" i="11"/>
  <c r="G1749" i="11"/>
  <c r="G1771" i="11"/>
  <c r="G1770" i="11"/>
  <c r="G1805" i="11"/>
  <c r="G1812" i="11"/>
  <c r="G1824" i="11"/>
  <c r="G1826" i="11"/>
  <c r="G1834" i="11"/>
  <c r="G1852" i="11"/>
  <c r="G1859" i="11"/>
  <c r="G1873" i="11"/>
  <c r="G1879" i="11"/>
  <c r="G1882" i="11"/>
  <c r="G1890" i="11"/>
  <c r="G1889" i="11"/>
  <c r="G1898" i="11"/>
  <c r="G1914" i="11"/>
  <c r="G1911" i="11"/>
  <c r="G1944" i="11"/>
  <c r="G1943" i="11"/>
  <c r="G1969" i="11"/>
  <c r="G1968" i="11"/>
  <c r="G2066" i="11"/>
  <c r="G2077" i="11"/>
  <c r="G2076" i="11"/>
  <c r="G2095" i="11"/>
  <c r="G2093" i="11"/>
  <c r="G1267" i="11"/>
  <c r="K1267" i="11"/>
  <c r="G1279" i="11"/>
  <c r="K1279" i="11"/>
  <c r="K1282" i="11"/>
  <c r="G1335" i="11"/>
  <c r="K1335" i="11"/>
  <c r="G1349" i="11"/>
  <c r="K1349" i="11"/>
  <c r="G1356" i="11"/>
  <c r="K1356" i="11"/>
  <c r="G1358" i="11"/>
  <c r="K1358" i="11"/>
  <c r="G1367" i="11"/>
  <c r="K1367" i="11"/>
  <c r="G1374" i="11"/>
  <c r="K1374" i="11"/>
  <c r="G1412" i="11"/>
  <c r="K1412" i="11"/>
  <c r="G1423" i="11"/>
  <c r="K1423" i="11"/>
  <c r="G1428" i="11"/>
  <c r="K1428" i="11"/>
  <c r="G1429" i="11"/>
  <c r="K1429" i="11"/>
  <c r="K1432" i="11"/>
  <c r="G1455" i="11"/>
  <c r="K1455" i="11"/>
  <c r="G1458" i="11"/>
  <c r="K1458" i="11"/>
  <c r="K1470" i="11"/>
  <c r="G1499" i="11"/>
  <c r="K1499" i="11"/>
  <c r="G1607" i="11"/>
  <c r="K1607" i="11"/>
  <c r="G1605" i="11"/>
  <c r="G1621" i="11"/>
  <c r="G1622" i="11"/>
  <c r="K1622" i="11"/>
  <c r="G1632" i="11"/>
  <c r="K1632" i="11"/>
  <c r="G1634" i="11"/>
  <c r="K1634" i="11"/>
  <c r="G1638" i="11"/>
  <c r="G1641" i="11"/>
  <c r="K1641" i="11"/>
  <c r="G1648" i="11"/>
  <c r="K1648" i="11"/>
  <c r="G1707" i="11"/>
  <c r="G1738" i="11"/>
  <c r="G1765" i="11"/>
  <c r="G1786" i="11"/>
  <c r="G1790" i="11"/>
  <c r="G1798" i="11"/>
  <c r="G1806" i="11"/>
  <c r="G1828" i="11"/>
  <c r="G1837" i="11"/>
  <c r="G1839" i="11"/>
  <c r="G1847" i="11"/>
  <c r="G1860" i="11"/>
  <c r="G1868" i="11"/>
  <c r="G1884" i="11"/>
  <c r="G1900" i="11"/>
  <c r="G1917" i="11"/>
  <c r="G1955" i="11"/>
  <c r="G2056" i="11"/>
  <c r="G2090" i="11"/>
  <c r="G2104" i="11"/>
  <c r="G2103" i="11"/>
  <c r="G2109" i="11"/>
  <c r="G2108" i="11"/>
  <c r="K1001" i="11"/>
  <c r="K67" i="11"/>
  <c r="K274" i="11"/>
  <c r="K308" i="11"/>
  <c r="K111" i="11"/>
  <c r="G158" i="11"/>
  <c r="K158" i="11"/>
  <c r="G176" i="11"/>
  <c r="K176" i="11"/>
  <c r="G424" i="11"/>
  <c r="G352" i="11"/>
  <c r="K352" i="11"/>
  <c r="G322" i="11"/>
  <c r="K322" i="11"/>
  <c r="G298" i="11"/>
  <c r="G287" i="11"/>
  <c r="K287" i="11"/>
  <c r="G283" i="11"/>
  <c r="G300" i="11"/>
  <c r="K424" i="11"/>
  <c r="K420" i="11"/>
  <c r="G610" i="11"/>
  <c r="K610" i="11"/>
  <c r="G234" i="11"/>
  <c r="K37" i="11"/>
  <c r="G88" i="11"/>
  <c r="K88" i="11"/>
  <c r="K77" i="11"/>
  <c r="K153" i="11"/>
  <c r="K188" i="11"/>
  <c r="K179" i="11"/>
  <c r="G161" i="11"/>
  <c r="K161" i="11"/>
  <c r="K229" i="11"/>
  <c r="K225" i="11"/>
  <c r="G454" i="11"/>
  <c r="K454" i="11"/>
  <c r="G430" i="11"/>
  <c r="K430" i="11"/>
  <c r="G421" i="11"/>
  <c r="K421" i="11"/>
  <c r="G349" i="11"/>
  <c r="K349" i="11"/>
  <c r="G310" i="11"/>
  <c r="G299" i="11"/>
  <c r="G291" i="11"/>
  <c r="K291" i="11"/>
  <c r="G284" i="11"/>
  <c r="K293" i="11"/>
  <c r="K392" i="11"/>
  <c r="G548" i="11"/>
  <c r="K548" i="11"/>
  <c r="G508" i="11"/>
  <c r="K508" i="11"/>
  <c r="K300" i="11"/>
  <c r="G56" i="11"/>
  <c r="K56" i="11"/>
  <c r="K137" i="11"/>
  <c r="G145" i="11"/>
  <c r="K145" i="11"/>
  <c r="K187" i="11"/>
  <c r="K168" i="11"/>
  <c r="K214" i="11"/>
  <c r="K253" i="11"/>
  <c r="K306" i="11"/>
  <c r="K309" i="11"/>
  <c r="G547" i="11"/>
  <c r="K547" i="11"/>
  <c r="G505" i="11"/>
  <c r="K505" i="11"/>
  <c r="G474" i="11"/>
  <c r="K474" i="11"/>
  <c r="G553" i="11"/>
  <c r="K553" i="11"/>
  <c r="G480" i="11"/>
  <c r="K480" i="11"/>
  <c r="K514" i="11"/>
  <c r="G635" i="11"/>
  <c r="K635" i="11"/>
  <c r="K883" i="11"/>
  <c r="G656" i="11"/>
  <c r="K656" i="11"/>
  <c r="G752" i="11"/>
  <c r="K752" i="11"/>
  <c r="G966" i="11"/>
  <c r="K966" i="11"/>
  <c r="K1270" i="11"/>
  <c r="G1248" i="11"/>
  <c r="K1248" i="11"/>
  <c r="G1276" i="11"/>
  <c r="K1276" i="11"/>
  <c r="G1273" i="11"/>
  <c r="K1273" i="11"/>
  <c r="K1271" i="11"/>
  <c r="G1346" i="11"/>
  <c r="K1346" i="11"/>
  <c r="G1360" i="11"/>
  <c r="K1360" i="11"/>
  <c r="K1368" i="11"/>
  <c r="G1411" i="11"/>
  <c r="K1411" i="11"/>
  <c r="G1420" i="11"/>
  <c r="K1420" i="11"/>
  <c r="G1430" i="11"/>
  <c r="K1430" i="11"/>
  <c r="G1453" i="11"/>
  <c r="K1453" i="11"/>
  <c r="G1457" i="11"/>
  <c r="K1457" i="11"/>
  <c r="G1592" i="11"/>
  <c r="K1592" i="11"/>
  <c r="K1591" i="11"/>
  <c r="G1202" i="11"/>
  <c r="K1202" i="11"/>
  <c r="K1235" i="11"/>
  <c r="K1252" i="11"/>
  <c r="K1244" i="11"/>
  <c r="G1286" i="11"/>
  <c r="K1286" i="11"/>
  <c r="G1351" i="11"/>
  <c r="K1351" i="11"/>
  <c r="K1350" i="11"/>
  <c r="G1450" i="11"/>
  <c r="K1450" i="11"/>
  <c r="G1467" i="11"/>
  <c r="K1467" i="11"/>
  <c r="G1464" i="11"/>
  <c r="K1464" i="11"/>
  <c r="K1459" i="11"/>
  <c r="G1474" i="11"/>
  <c r="K1474" i="11"/>
  <c r="K1466" i="11"/>
  <c r="G1583" i="11"/>
  <c r="K1583" i="11"/>
  <c r="G1577" i="11"/>
  <c r="K1577" i="11"/>
  <c r="G1521" i="11"/>
  <c r="K1521" i="11"/>
  <c r="G1535" i="11"/>
  <c r="K1535" i="11"/>
  <c r="G1584" i="11"/>
  <c r="K1584" i="11"/>
  <c r="K1599" i="11"/>
  <c r="K1662" i="11"/>
  <c r="G1557" i="11"/>
  <c r="K1557" i="11"/>
  <c r="K1581" i="11"/>
  <c r="K1616" i="11"/>
  <c r="G1629" i="11"/>
  <c r="K1629" i="11"/>
  <c r="G1630" i="11"/>
  <c r="K1630" i="11"/>
  <c r="K1627" i="11"/>
  <c r="K1638" i="11"/>
  <c r="K1625" i="11"/>
  <c r="K1621" i="11"/>
  <c r="G1672" i="11"/>
  <c r="K1672" i="11"/>
  <c r="G1585" i="11"/>
  <c r="K1585" i="11"/>
  <c r="G1617" i="11"/>
  <c r="K1617" i="11"/>
  <c r="K1605" i="11"/>
  <c r="G1635" i="11"/>
  <c r="K1635" i="11"/>
  <c r="G1640" i="11"/>
  <c r="K1640" i="11"/>
  <c r="G1660" i="11"/>
  <c r="K1660" i="11"/>
  <c r="G1671" i="11"/>
  <c r="K1671" i="11"/>
  <c r="G1731" i="11"/>
  <c r="G1753" i="11"/>
  <c r="G1774" i="11"/>
  <c r="G1893" i="11"/>
  <c r="G1895" i="11"/>
  <c r="G1929" i="11"/>
  <c r="G1962" i="11"/>
  <c r="G2070" i="11"/>
  <c r="G2101" i="11"/>
  <c r="G1642" i="11"/>
  <c r="K1642" i="11"/>
  <c r="G1657" i="11"/>
  <c r="G1670" i="11"/>
  <c r="K1670" i="11"/>
  <c r="G1682" i="11"/>
  <c r="G1712" i="11"/>
  <c r="G1737" i="11"/>
  <c r="G1764" i="11"/>
  <c r="G1785" i="11"/>
  <c r="G1813" i="11"/>
  <c r="G1827" i="11"/>
  <c r="G1853" i="11"/>
  <c r="G1874" i="11"/>
  <c r="G1883" i="11"/>
  <c r="G1899" i="11"/>
  <c r="G1938" i="11"/>
  <c r="G1954" i="11"/>
  <c r="G2065" i="11"/>
  <c r="G2089" i="11"/>
  <c r="G2107" i="11"/>
  <c r="G1678" i="11"/>
  <c r="K1678" i="11"/>
  <c r="G1705" i="11"/>
  <c r="G1744" i="11"/>
  <c r="G1758" i="11"/>
  <c r="G1776" i="11"/>
  <c r="G1801" i="11"/>
  <c r="G1818" i="11"/>
  <c r="G1843" i="11"/>
  <c r="G1865" i="11"/>
  <c r="G1875" i="11"/>
  <c r="G1903" i="11"/>
  <c r="G1921" i="11"/>
  <c r="G1949" i="11"/>
  <c r="G1976" i="11"/>
  <c r="G2078" i="11"/>
  <c r="G2091" i="11"/>
  <c r="G3" i="11"/>
  <c r="K1657" i="11"/>
  <c r="K4" i="11"/>
  <c r="K3" i="11"/>
  <c r="G4" i="11"/>
  <c r="G2126" i="11"/>
  <c r="G2141" i="11"/>
  <c r="G2158" i="11"/>
  <c r="G2209" i="11"/>
  <c r="G2219" i="11" l="1"/>
  <c r="G2218" i="11"/>
  <c r="G2224" i="11"/>
</calcChain>
</file>

<file path=xl/sharedStrings.xml><?xml version="1.0" encoding="utf-8"?>
<sst xmlns="http://schemas.openxmlformats.org/spreadsheetml/2006/main" count="2692" uniqueCount="221">
  <si>
    <t>馬力數</t>
    <phoneticPr fontId="2" type="noConversion"/>
  </si>
  <si>
    <t>合計</t>
    <phoneticPr fontId="2" type="noConversion"/>
  </si>
  <si>
    <t>尖峰</t>
    <phoneticPr fontId="2" type="noConversion"/>
  </si>
  <si>
    <t>離峰</t>
    <phoneticPr fontId="2" type="noConversion"/>
  </si>
  <si>
    <t>基本電費</t>
    <phoneticPr fontId="2" type="noConversion"/>
  </si>
  <si>
    <t>經常契約電價</t>
    <phoneticPr fontId="2" type="noConversion"/>
  </si>
  <si>
    <t>離峰契約容量</t>
    <phoneticPr fontId="2" type="noConversion"/>
  </si>
  <si>
    <t>非夏月契約容量</t>
    <phoneticPr fontId="2" type="noConversion"/>
  </si>
  <si>
    <r>
      <t>X</t>
    </r>
    <r>
      <rPr>
        <vertAlign val="subscript"/>
        <sz val="12"/>
        <rFont val="Times New Roman"/>
        <family val="1"/>
      </rPr>
      <t>11</t>
    </r>
    <r>
      <rPr>
        <sz val="12"/>
        <rFont val="Times New Roman"/>
        <family val="1"/>
      </rPr>
      <t>=</t>
    </r>
    <r>
      <rPr>
        <sz val="12"/>
        <rFont val="細明體"/>
        <family val="3"/>
        <charset val="136"/>
      </rPr>
      <t>夏月尖峰時間實用度數，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12</t>
    </r>
    <r>
      <rPr>
        <sz val="12"/>
        <rFont val="Times New Roman"/>
        <family val="1"/>
      </rPr>
      <t>=</t>
    </r>
    <r>
      <rPr>
        <sz val="12"/>
        <rFont val="細明體"/>
        <family val="3"/>
        <charset val="136"/>
      </rPr>
      <t>非夏月尖峰時間實用度數</t>
    </r>
  </si>
  <si>
    <r>
      <t>X</t>
    </r>
    <r>
      <rPr>
        <vertAlign val="subscript"/>
        <sz val="12"/>
        <rFont val="Times New Roman"/>
        <family val="1"/>
      </rPr>
      <t>21</t>
    </r>
    <r>
      <rPr>
        <sz val="12"/>
        <rFont val="Times New Roman"/>
        <family val="1"/>
      </rPr>
      <t>=</t>
    </r>
    <r>
      <rPr>
        <sz val="12"/>
        <rFont val="細明體"/>
        <family val="3"/>
        <charset val="136"/>
      </rPr>
      <t>夏月半尖峰時間實用度數，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22</t>
    </r>
    <r>
      <rPr>
        <sz val="12"/>
        <rFont val="Times New Roman"/>
        <family val="1"/>
      </rPr>
      <t>=</t>
    </r>
    <r>
      <rPr>
        <sz val="12"/>
        <rFont val="細明體"/>
        <family val="3"/>
        <charset val="136"/>
      </rPr>
      <t>非夏月半尖峰時間實用度數</t>
    </r>
  </si>
  <si>
    <r>
      <t>X</t>
    </r>
    <r>
      <rPr>
        <vertAlign val="subscript"/>
        <sz val="12"/>
        <rFont val="Times New Roman"/>
        <family val="1"/>
      </rPr>
      <t>31</t>
    </r>
    <r>
      <rPr>
        <sz val="12"/>
        <rFont val="Times New Roman"/>
        <family val="1"/>
      </rPr>
      <t>=</t>
    </r>
    <r>
      <rPr>
        <sz val="12"/>
        <rFont val="細明體"/>
        <family val="3"/>
        <charset val="136"/>
      </rPr>
      <t>夏月離峰時間實用度數，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32</t>
    </r>
    <r>
      <rPr>
        <sz val="12"/>
        <rFont val="Times New Roman"/>
        <family val="1"/>
      </rPr>
      <t>=</t>
    </r>
    <r>
      <rPr>
        <sz val="12"/>
        <rFont val="細明體"/>
        <family val="3"/>
        <charset val="136"/>
      </rPr>
      <t>非夏月離峰時間實用度數</t>
    </r>
  </si>
  <si>
    <t>X</t>
  </si>
  <si>
    <r>
      <t>計</t>
    </r>
    <r>
      <rPr>
        <sz val="12"/>
        <rFont val="Times New Roman"/>
        <family val="1"/>
      </rPr>
      <t xml:space="preserve">          </t>
    </r>
    <r>
      <rPr>
        <sz val="12"/>
        <rFont val="細明體"/>
        <family val="3"/>
        <charset val="136"/>
      </rPr>
      <t>算</t>
    </r>
    <r>
      <rPr>
        <sz val="12"/>
        <rFont val="Times New Roman"/>
        <family val="1"/>
      </rPr>
      <t xml:space="preserve">          </t>
    </r>
    <r>
      <rPr>
        <sz val="12"/>
        <rFont val="細明體"/>
        <family val="3"/>
        <charset val="136"/>
      </rPr>
      <t>式</t>
    </r>
  </si>
  <si>
    <r>
      <t>110</t>
    </r>
    <r>
      <rPr>
        <sz val="12"/>
        <rFont val="細明體"/>
        <family val="3"/>
        <charset val="136"/>
      </rPr>
      <t>度以下</t>
    </r>
  </si>
  <si>
    <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(2.00</t>
    </r>
    <r>
      <rPr>
        <sz val="12"/>
        <rFont val="細明體"/>
        <family val="3"/>
        <charset val="136"/>
      </rPr>
      <t>元＋</t>
    </r>
    <r>
      <rPr>
        <sz val="12"/>
        <rFont val="Times New Roman"/>
        <family val="1"/>
      </rPr>
      <t>0.20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D/30)</t>
    </r>
    <r>
      <rPr>
        <sz val="12"/>
        <rFont val="細明體"/>
        <family val="3"/>
        <charset val="136"/>
      </rPr>
      <t>×</t>
    </r>
    <r>
      <rPr>
        <sz val="12"/>
        <rFont val="Times New Roman"/>
        <family val="1"/>
      </rPr>
      <t>X</t>
    </r>
  </si>
  <si>
    <r>
      <t>330</t>
    </r>
    <r>
      <rPr>
        <sz val="12"/>
        <rFont val="細明體"/>
        <family val="3"/>
        <charset val="136"/>
      </rPr>
      <t>度以下</t>
    </r>
  </si>
  <si>
    <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(2.30</t>
    </r>
    <r>
      <rPr>
        <sz val="12"/>
        <rFont val="細明體"/>
        <family val="3"/>
        <charset val="136"/>
      </rPr>
      <t>元＋</t>
    </r>
    <r>
      <rPr>
        <sz val="12"/>
        <rFont val="Times New Roman"/>
        <family val="1"/>
      </rPr>
      <t>0.40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D/30)</t>
    </r>
    <r>
      <rPr>
        <sz val="12"/>
        <rFont val="細明體"/>
        <family val="3"/>
        <charset val="136"/>
      </rPr>
      <t>×</t>
    </r>
    <r>
      <rPr>
        <sz val="12"/>
        <rFont val="Times New Roman"/>
        <family val="1"/>
      </rPr>
      <t>X</t>
    </r>
    <r>
      <rPr>
        <sz val="12"/>
        <rFont val="細明體"/>
        <family val="3"/>
        <charset val="136"/>
      </rPr>
      <t>－</t>
    </r>
    <r>
      <rPr>
        <sz val="12"/>
        <rFont val="Times New Roman"/>
        <family val="1"/>
      </rPr>
      <t>22</t>
    </r>
    <r>
      <rPr>
        <sz val="12"/>
        <rFont val="細明體"/>
        <family val="3"/>
        <charset val="136"/>
      </rPr>
      <t>×</t>
    </r>
    <r>
      <rPr>
        <sz val="12"/>
        <rFont val="Times New Roman"/>
        <family val="1"/>
      </rPr>
      <t>D/30</t>
    </r>
    <r>
      <rPr>
        <sz val="12"/>
        <rFont val="細明體"/>
        <family val="3"/>
        <charset val="136"/>
      </rPr>
      <t>－</t>
    </r>
    <r>
      <rPr>
        <sz val="12"/>
        <rFont val="Times New Roman"/>
        <family val="1"/>
      </rPr>
      <t>33</t>
    </r>
  </si>
  <si>
    <r>
      <t>331</t>
    </r>
    <r>
      <rPr>
        <sz val="12"/>
        <rFont val="細明體"/>
        <family val="3"/>
        <charset val="136"/>
      </rPr>
      <t>度以上</t>
    </r>
  </si>
  <si>
    <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(2.60</t>
    </r>
    <r>
      <rPr>
        <sz val="12"/>
        <rFont val="細明體"/>
        <family val="3"/>
        <charset val="136"/>
      </rPr>
      <t>元＋</t>
    </r>
    <r>
      <rPr>
        <sz val="12"/>
        <rFont val="Times New Roman"/>
        <family val="1"/>
      </rPr>
      <t>0.70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D/30)</t>
    </r>
    <r>
      <rPr>
        <sz val="12"/>
        <rFont val="細明體"/>
        <family val="3"/>
        <charset val="136"/>
      </rPr>
      <t>×</t>
    </r>
    <r>
      <rPr>
        <sz val="12"/>
        <rFont val="Times New Roman"/>
        <family val="1"/>
      </rPr>
      <t>X</t>
    </r>
    <r>
      <rPr>
        <sz val="12"/>
        <rFont val="細明體"/>
        <family val="3"/>
        <charset val="136"/>
      </rPr>
      <t>－</t>
    </r>
    <r>
      <rPr>
        <sz val="12"/>
        <rFont val="Times New Roman"/>
        <family val="1"/>
      </rPr>
      <t>121</t>
    </r>
    <r>
      <rPr>
        <sz val="12"/>
        <rFont val="細明體"/>
        <family val="3"/>
        <charset val="136"/>
      </rPr>
      <t>×</t>
    </r>
    <r>
      <rPr>
        <sz val="12"/>
        <rFont val="Times New Roman"/>
        <family val="1"/>
      </rPr>
      <t>D/30</t>
    </r>
    <r>
      <rPr>
        <sz val="12"/>
        <rFont val="細明體"/>
        <family val="3"/>
        <charset val="136"/>
      </rPr>
      <t>－</t>
    </r>
    <r>
      <rPr>
        <sz val="12"/>
        <rFont val="Times New Roman"/>
        <family val="1"/>
      </rPr>
      <t>132</t>
    </r>
  </si>
  <si>
    <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(2.60</t>
    </r>
    <r>
      <rPr>
        <sz val="12"/>
        <rFont val="細明體"/>
        <family val="3"/>
        <charset val="136"/>
      </rPr>
      <t>元＋</t>
    </r>
    <r>
      <rPr>
        <sz val="12"/>
        <rFont val="Times New Roman"/>
        <family val="1"/>
      </rPr>
      <t>0.70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D/30)</t>
    </r>
    <r>
      <rPr>
        <sz val="12"/>
        <rFont val="細明體"/>
        <family val="3"/>
        <charset val="136"/>
      </rPr>
      <t>×</t>
    </r>
    <r>
      <rPr>
        <sz val="12"/>
        <rFont val="Times New Roman"/>
        <family val="1"/>
      </rPr>
      <t>X</t>
    </r>
  </si>
  <si>
    <r>
      <t>(1)</t>
    </r>
    <r>
      <rPr>
        <sz val="12"/>
        <rFont val="細明體"/>
        <family val="3"/>
        <charset val="136"/>
      </rPr>
      <t>非時間電價：</t>
    </r>
  </si>
  <si>
    <r>
      <t>X</t>
    </r>
    <r>
      <rPr>
        <sz val="12"/>
        <rFont val="細明體"/>
        <family val="3"/>
        <charset val="136"/>
      </rPr>
      <t>／</t>
    </r>
    <r>
      <rPr>
        <sz val="12"/>
        <rFont val="Times New Roman"/>
        <family val="1"/>
      </rPr>
      <t>C</t>
    </r>
  </si>
  <si>
    <r>
      <t>60</t>
    </r>
    <r>
      <rPr>
        <sz val="12"/>
        <rFont val="細明體"/>
        <family val="3"/>
        <charset val="136"/>
      </rPr>
      <t>小時以下</t>
    </r>
  </si>
  <si>
    <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(1.37</t>
    </r>
    <r>
      <rPr>
        <sz val="12"/>
        <rFont val="細明體"/>
        <family val="3"/>
        <charset val="136"/>
      </rPr>
      <t>元＋</t>
    </r>
    <r>
      <rPr>
        <sz val="12"/>
        <rFont val="Times New Roman"/>
        <family val="1"/>
      </rPr>
      <t>0.07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D/30)</t>
    </r>
    <r>
      <rPr>
        <sz val="12"/>
        <rFont val="細明體"/>
        <family val="3"/>
        <charset val="136"/>
      </rPr>
      <t>×</t>
    </r>
    <r>
      <rPr>
        <sz val="12"/>
        <rFont val="Times New Roman"/>
        <family val="1"/>
      </rPr>
      <t>X</t>
    </r>
  </si>
  <si>
    <r>
      <t>61</t>
    </r>
    <r>
      <rPr>
        <sz val="12"/>
        <rFont val="細明體"/>
        <family val="3"/>
        <charset val="136"/>
      </rPr>
      <t>小時以上</t>
    </r>
  </si>
  <si>
    <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(1.56</t>
    </r>
    <r>
      <rPr>
        <sz val="12"/>
        <rFont val="細明體"/>
        <family val="3"/>
        <charset val="136"/>
      </rPr>
      <t>元＋</t>
    </r>
    <r>
      <rPr>
        <sz val="12"/>
        <rFont val="Times New Roman"/>
        <family val="1"/>
      </rPr>
      <t>0.09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D/30)</t>
    </r>
    <r>
      <rPr>
        <sz val="12"/>
        <rFont val="細明體"/>
        <family val="3"/>
        <charset val="136"/>
      </rPr>
      <t>×</t>
    </r>
    <r>
      <rPr>
        <sz val="12"/>
        <rFont val="Times New Roman"/>
        <family val="1"/>
      </rPr>
      <t>X</t>
    </r>
    <r>
      <rPr>
        <sz val="12"/>
        <rFont val="細明體"/>
        <family val="3"/>
        <charset val="136"/>
      </rPr>
      <t>－</t>
    </r>
    <r>
      <rPr>
        <sz val="12"/>
        <rFont val="Times New Roman"/>
        <family val="1"/>
      </rPr>
      <t>(11.40</t>
    </r>
    <r>
      <rPr>
        <sz val="12"/>
        <rFont val="細明體"/>
        <family val="3"/>
        <charset val="136"/>
      </rPr>
      <t>元＋</t>
    </r>
  </si>
  <si>
    <r>
      <t>1.20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D/30)</t>
    </r>
    <r>
      <rPr>
        <sz val="12"/>
        <rFont val="細明體"/>
        <family val="3"/>
        <charset val="136"/>
      </rPr>
      <t>×</t>
    </r>
    <r>
      <rPr>
        <sz val="12"/>
        <rFont val="Times New Roman"/>
        <family val="1"/>
      </rPr>
      <t>C</t>
    </r>
  </si>
  <si>
    <r>
      <t>(2)</t>
    </r>
    <r>
      <rPr>
        <sz val="12"/>
        <rFont val="細明體"/>
        <family val="3"/>
        <charset val="136"/>
      </rPr>
      <t>時間電價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二段式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：</t>
    </r>
  </si>
  <si>
    <r>
      <t>夏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月：</t>
    </r>
    <r>
      <rPr>
        <sz val="12"/>
        <rFont val="Times New Roman"/>
        <family val="1"/>
      </rP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2.06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11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0.78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31</t>
    </r>
  </si>
  <si>
    <r>
      <t>非夏月：</t>
    </r>
    <r>
      <rPr>
        <sz val="12"/>
        <rFont val="Times New Roman"/>
        <family val="1"/>
      </rP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2.00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12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0.72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32</t>
    </r>
  </si>
  <si>
    <r>
      <t>4.</t>
    </r>
    <r>
      <rPr>
        <sz val="12"/>
        <rFont val="細明體"/>
        <family val="3"/>
        <charset val="136"/>
      </rPr>
      <t>低壓綜合營業用：</t>
    </r>
  </si>
  <si>
    <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(1.56</t>
    </r>
    <r>
      <rPr>
        <sz val="12"/>
        <rFont val="細明體"/>
        <family val="3"/>
        <charset val="136"/>
      </rPr>
      <t>元＋</t>
    </r>
    <r>
      <rPr>
        <sz val="12"/>
        <rFont val="Times New Roman"/>
        <family val="1"/>
      </rPr>
      <t>0.09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D/30)</t>
    </r>
    <r>
      <rPr>
        <sz val="12"/>
        <rFont val="細明體"/>
        <family val="3"/>
        <charset val="136"/>
      </rPr>
      <t>×</t>
    </r>
    <r>
      <rPr>
        <sz val="12"/>
        <rFont val="Times New Roman"/>
        <family val="1"/>
      </rPr>
      <t>X</t>
    </r>
  </si>
  <si>
    <r>
      <t>夏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月：</t>
    </r>
    <r>
      <rPr>
        <sz val="12"/>
        <rFont val="Times New Roman"/>
        <family val="1"/>
      </rP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2.10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11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0.80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31</t>
    </r>
  </si>
  <si>
    <r>
      <t>非夏月：</t>
    </r>
    <r>
      <rPr>
        <sz val="12"/>
        <rFont val="Times New Roman"/>
        <family val="1"/>
      </rP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2.04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12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0.74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32</t>
    </r>
  </si>
  <si>
    <r>
      <t>5.</t>
    </r>
    <r>
      <rPr>
        <sz val="12"/>
        <rFont val="細明體"/>
        <family val="3"/>
        <charset val="136"/>
      </rPr>
      <t>低壓電力：</t>
    </r>
  </si>
  <si>
    <r>
      <t>(1)</t>
    </r>
    <r>
      <rPr>
        <sz val="12"/>
        <rFont val="細明體"/>
        <family val="3"/>
        <charset val="136"/>
      </rPr>
      <t>二段式時間電價：</t>
    </r>
  </si>
  <si>
    <r>
      <t>夏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月：</t>
    </r>
    <r>
      <rPr>
        <sz val="12"/>
        <rFont val="Times New Roman"/>
        <family val="1"/>
      </rP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1.96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11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0.77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31</t>
    </r>
  </si>
  <si>
    <r>
      <t>非夏月：</t>
    </r>
    <r>
      <rPr>
        <sz val="12"/>
        <rFont val="Times New Roman"/>
        <family val="1"/>
      </rP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1.89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12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0.71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32</t>
    </r>
  </si>
  <si>
    <r>
      <t>(2)</t>
    </r>
    <r>
      <rPr>
        <sz val="12"/>
        <rFont val="細明體"/>
        <family val="3"/>
        <charset val="136"/>
      </rPr>
      <t>三段式時間電價：</t>
    </r>
  </si>
  <si>
    <t>．尖峰時間固定之時間電價：</t>
  </si>
  <si>
    <t>．尖峰時間可變動時間電價：</t>
  </si>
  <si>
    <r>
      <t>6.</t>
    </r>
    <r>
      <rPr>
        <sz val="12"/>
        <rFont val="細明體"/>
        <family val="3"/>
        <charset val="136"/>
      </rPr>
      <t>特高壓電力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綜合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：</t>
    </r>
  </si>
  <si>
    <r>
      <t>夏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月：</t>
    </r>
    <r>
      <rPr>
        <sz val="12"/>
        <rFont val="Times New Roman"/>
        <family val="1"/>
      </rP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1.95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11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0.76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31</t>
    </r>
  </si>
  <si>
    <r>
      <t>非夏月：</t>
    </r>
    <r>
      <rPr>
        <sz val="12"/>
        <rFont val="Times New Roman"/>
        <family val="1"/>
      </rP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1.88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12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0.70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32</t>
    </r>
  </si>
  <si>
    <r>
      <t>夏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月：</t>
    </r>
    <r>
      <rPr>
        <sz val="12"/>
        <rFont val="Times New Roman"/>
        <family val="1"/>
      </rP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3.04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11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1.83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21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0.69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31</t>
    </r>
  </si>
  <si>
    <r>
      <t>非夏月：</t>
    </r>
    <r>
      <rPr>
        <sz val="12"/>
        <rFont val="Times New Roman"/>
        <family val="1"/>
      </rP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1.77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22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0.64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32</t>
    </r>
  </si>
  <si>
    <r>
      <t>夏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月：</t>
    </r>
    <r>
      <rPr>
        <sz val="12"/>
        <rFont val="Times New Roman"/>
        <family val="1"/>
      </rPr>
      <t>S</t>
    </r>
    <r>
      <rPr>
        <sz val="12"/>
        <rFont val="細明體"/>
        <family val="3"/>
        <charset val="136"/>
      </rPr>
      <t>＝</t>
    </r>
    <r>
      <rPr>
        <sz val="12"/>
        <rFont val="Times New Roman"/>
        <family val="1"/>
      </rPr>
      <t>5.32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11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1.83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21</t>
    </r>
    <r>
      <rPr>
        <sz val="12"/>
        <rFont val="細明體"/>
        <family val="3"/>
        <charset val="136"/>
      </rPr>
      <t>＋</t>
    </r>
    <r>
      <rPr>
        <sz val="12"/>
        <rFont val="Times New Roman"/>
        <family val="1"/>
      </rPr>
      <t>0.69</t>
    </r>
    <r>
      <rPr>
        <sz val="12"/>
        <rFont val="細明體"/>
        <family val="3"/>
        <charset val="136"/>
      </rPr>
      <t>元×</t>
    </r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31</t>
    </r>
  </si>
  <si>
    <r>
      <rPr>
        <sz val="12"/>
        <rFont val="細明體"/>
        <family val="3"/>
        <charset val="136"/>
      </rPr>
      <t>設</t>
    </r>
    <r>
      <rPr>
        <sz val="12"/>
        <rFont val="Times New Roman"/>
        <family val="1"/>
      </rPr>
      <t>:S=</t>
    </r>
    <r>
      <rPr>
        <sz val="12"/>
        <rFont val="細明體"/>
        <family val="3"/>
        <charset val="136"/>
      </rPr>
      <t>每月流動電費，</t>
    </r>
    <r>
      <rPr>
        <sz val="12"/>
        <rFont val="Times New Roman"/>
        <family val="1"/>
      </rPr>
      <t>X=</t>
    </r>
    <r>
      <rPr>
        <sz val="12"/>
        <rFont val="細明體"/>
        <family val="3"/>
        <charset val="136"/>
      </rPr>
      <t>每月用電度數，</t>
    </r>
    <r>
      <rPr>
        <sz val="12"/>
        <rFont val="Times New Roman"/>
        <family val="1"/>
      </rPr>
      <t>D=</t>
    </r>
    <r>
      <rPr>
        <sz val="12"/>
        <rFont val="細明體"/>
        <family val="3"/>
        <charset val="136"/>
      </rPr>
      <t>該電費月份跨夏月天數，</t>
    </r>
    <r>
      <rPr>
        <sz val="12"/>
        <rFont val="Times New Roman"/>
        <family val="1"/>
      </rPr>
      <t>C=</t>
    </r>
    <r>
      <rPr>
        <sz val="12"/>
        <rFont val="細明體"/>
        <family val="3"/>
        <charset val="136"/>
      </rPr>
      <t>契約容量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夏月為經常契約容量；非夏月為經常契約容量與非夏月契約容量之和</t>
    </r>
    <r>
      <rPr>
        <sz val="12"/>
        <rFont val="Times New Roman"/>
        <family val="1"/>
      </rPr>
      <t>)</t>
    </r>
    <phoneticPr fontId="2" type="noConversion"/>
  </si>
  <si>
    <r>
      <t>第二十章</t>
    </r>
    <r>
      <rPr>
        <sz val="16"/>
        <rFont val="Times New Roman"/>
        <family val="1"/>
      </rPr>
      <t xml:space="preserve">   </t>
    </r>
    <r>
      <rPr>
        <sz val="16"/>
        <rFont val="標楷體"/>
        <family val="4"/>
        <charset val="136"/>
      </rPr>
      <t>流動電費計算式</t>
    </r>
    <r>
      <rPr>
        <sz val="16"/>
        <rFont val="Times New Roman"/>
        <family val="1"/>
      </rPr>
      <t>http://www.cogen.org.tw/</t>
    </r>
    <phoneticPr fontId="2" type="noConversion"/>
  </si>
  <si>
    <r>
      <t>1.</t>
    </r>
    <r>
      <rPr>
        <u/>
        <sz val="12"/>
        <rFont val="細明體"/>
        <family val="3"/>
        <charset val="136"/>
      </rPr>
      <t>表燈非營業用：</t>
    </r>
  </si>
  <si>
    <r>
      <t>3.</t>
    </r>
    <r>
      <rPr>
        <u/>
        <sz val="12"/>
        <rFont val="細明體"/>
        <family val="3"/>
        <charset val="136"/>
      </rPr>
      <t>低壓綜合非營業用：</t>
    </r>
  </si>
  <si>
    <r>
      <t>2.</t>
    </r>
    <r>
      <rPr>
        <u/>
        <sz val="12"/>
        <rFont val="細明體"/>
        <family val="3"/>
        <charset val="136"/>
      </rPr>
      <t>表燈營業用：</t>
    </r>
  </si>
  <si>
    <r>
      <t>6.</t>
    </r>
    <r>
      <rPr>
        <u/>
        <sz val="12"/>
        <rFont val="細明體"/>
        <family val="3"/>
        <charset val="136"/>
      </rPr>
      <t>高壓電力</t>
    </r>
    <r>
      <rPr>
        <u/>
        <sz val="12"/>
        <rFont val="Times New Roman"/>
        <family val="1"/>
      </rPr>
      <t>(</t>
    </r>
    <r>
      <rPr>
        <u/>
        <sz val="12"/>
        <rFont val="細明體"/>
        <family val="3"/>
        <charset val="136"/>
      </rPr>
      <t>綜合</t>
    </r>
    <r>
      <rPr>
        <u/>
        <sz val="12"/>
        <rFont val="Times New Roman"/>
        <family val="1"/>
      </rPr>
      <t>)</t>
    </r>
    <r>
      <rPr>
        <u/>
        <sz val="12"/>
        <rFont val="細明體"/>
        <family val="3"/>
        <charset val="136"/>
      </rPr>
      <t>：</t>
    </r>
  </si>
  <si>
    <r>
      <t>(2)</t>
    </r>
    <r>
      <rPr>
        <b/>
        <sz val="12"/>
        <rFont val="細明體"/>
        <family val="3"/>
        <charset val="136"/>
      </rPr>
      <t>三段式時間電價：</t>
    </r>
  </si>
  <si>
    <r>
      <t>夏</t>
    </r>
    <r>
      <rPr>
        <b/>
        <sz val="12"/>
        <rFont val="Times New Roman"/>
        <family val="1"/>
      </rPr>
      <t xml:space="preserve">  </t>
    </r>
    <r>
      <rPr>
        <b/>
        <sz val="12"/>
        <rFont val="細明體"/>
        <family val="3"/>
        <charset val="136"/>
      </rPr>
      <t>月：</t>
    </r>
    <r>
      <rPr>
        <b/>
        <sz val="12"/>
        <rFont val="Times New Roman"/>
        <family val="1"/>
      </rPr>
      <t>S</t>
    </r>
    <r>
      <rPr>
        <b/>
        <sz val="12"/>
        <rFont val="細明體"/>
        <family val="3"/>
        <charset val="136"/>
      </rPr>
      <t>＝</t>
    </r>
    <r>
      <rPr>
        <b/>
        <sz val="12"/>
        <rFont val="Times New Roman"/>
        <family val="1"/>
      </rPr>
      <t>3.06</t>
    </r>
    <r>
      <rPr>
        <b/>
        <sz val="12"/>
        <rFont val="細明體"/>
        <family val="3"/>
        <charset val="136"/>
      </rPr>
      <t>元×</t>
    </r>
    <r>
      <rPr>
        <b/>
        <sz val="12"/>
        <rFont val="Times New Roman"/>
        <family val="1"/>
      </rPr>
      <t>X</t>
    </r>
    <r>
      <rPr>
        <b/>
        <vertAlign val="subscript"/>
        <sz val="12"/>
        <rFont val="Times New Roman"/>
        <family val="1"/>
      </rPr>
      <t>11</t>
    </r>
    <r>
      <rPr>
        <b/>
        <sz val="12"/>
        <rFont val="細明體"/>
        <family val="3"/>
        <charset val="136"/>
      </rPr>
      <t>＋</t>
    </r>
    <r>
      <rPr>
        <b/>
        <sz val="12"/>
        <rFont val="Times New Roman"/>
        <family val="1"/>
      </rPr>
      <t>1.84</t>
    </r>
    <r>
      <rPr>
        <b/>
        <sz val="12"/>
        <rFont val="細明體"/>
        <family val="3"/>
        <charset val="136"/>
      </rPr>
      <t>元×</t>
    </r>
    <r>
      <rPr>
        <b/>
        <sz val="12"/>
        <rFont val="Times New Roman"/>
        <family val="1"/>
      </rPr>
      <t>X</t>
    </r>
    <r>
      <rPr>
        <b/>
        <vertAlign val="subscript"/>
        <sz val="12"/>
        <rFont val="Times New Roman"/>
        <family val="1"/>
      </rPr>
      <t>21</t>
    </r>
    <r>
      <rPr>
        <b/>
        <sz val="12"/>
        <rFont val="細明體"/>
        <family val="3"/>
        <charset val="136"/>
      </rPr>
      <t>＋</t>
    </r>
    <r>
      <rPr>
        <b/>
        <sz val="12"/>
        <rFont val="Times New Roman"/>
        <family val="1"/>
      </rPr>
      <t>0.70</t>
    </r>
    <r>
      <rPr>
        <b/>
        <sz val="12"/>
        <rFont val="細明體"/>
        <family val="3"/>
        <charset val="136"/>
      </rPr>
      <t>元×</t>
    </r>
    <r>
      <rPr>
        <b/>
        <sz val="12"/>
        <rFont val="Times New Roman"/>
        <family val="1"/>
      </rPr>
      <t>X</t>
    </r>
    <r>
      <rPr>
        <b/>
        <vertAlign val="subscript"/>
        <sz val="12"/>
        <rFont val="Times New Roman"/>
        <family val="1"/>
      </rPr>
      <t>31</t>
    </r>
  </si>
  <si>
    <r>
      <t>非夏月：</t>
    </r>
    <r>
      <rPr>
        <b/>
        <sz val="12"/>
        <rFont val="Times New Roman"/>
        <family val="1"/>
      </rPr>
      <t>S</t>
    </r>
    <r>
      <rPr>
        <b/>
        <sz val="12"/>
        <rFont val="細明體"/>
        <family val="3"/>
        <charset val="136"/>
      </rPr>
      <t>＝</t>
    </r>
    <r>
      <rPr>
        <b/>
        <sz val="12"/>
        <rFont val="Times New Roman"/>
        <family val="1"/>
      </rPr>
      <t>1.78</t>
    </r>
    <r>
      <rPr>
        <b/>
        <sz val="12"/>
        <rFont val="細明體"/>
        <family val="3"/>
        <charset val="136"/>
      </rPr>
      <t>元×</t>
    </r>
    <r>
      <rPr>
        <b/>
        <sz val="12"/>
        <rFont val="Times New Roman"/>
        <family val="1"/>
      </rPr>
      <t>X</t>
    </r>
    <r>
      <rPr>
        <b/>
        <vertAlign val="subscript"/>
        <sz val="12"/>
        <rFont val="Times New Roman"/>
        <family val="1"/>
      </rPr>
      <t>22</t>
    </r>
    <r>
      <rPr>
        <b/>
        <sz val="12"/>
        <rFont val="細明體"/>
        <family val="3"/>
        <charset val="136"/>
      </rPr>
      <t>＋</t>
    </r>
    <r>
      <rPr>
        <b/>
        <sz val="12"/>
        <rFont val="Times New Roman"/>
        <family val="1"/>
      </rPr>
      <t>0.65</t>
    </r>
    <r>
      <rPr>
        <b/>
        <sz val="12"/>
        <rFont val="細明體"/>
        <family val="3"/>
        <charset val="136"/>
      </rPr>
      <t>元×</t>
    </r>
    <r>
      <rPr>
        <b/>
        <sz val="12"/>
        <rFont val="Times New Roman"/>
        <family val="1"/>
      </rPr>
      <t>X</t>
    </r>
    <r>
      <rPr>
        <b/>
        <vertAlign val="subscript"/>
        <sz val="12"/>
        <rFont val="Times New Roman"/>
        <family val="1"/>
      </rPr>
      <t>32</t>
    </r>
  </si>
  <si>
    <r>
      <t>夏</t>
    </r>
    <r>
      <rPr>
        <b/>
        <sz val="12"/>
        <rFont val="Times New Roman"/>
        <family val="1"/>
      </rPr>
      <t xml:space="preserve">  </t>
    </r>
    <r>
      <rPr>
        <b/>
        <sz val="12"/>
        <rFont val="細明體"/>
        <family val="3"/>
        <charset val="136"/>
      </rPr>
      <t>月：</t>
    </r>
    <r>
      <rPr>
        <b/>
        <sz val="12"/>
        <rFont val="Times New Roman"/>
        <family val="1"/>
      </rPr>
      <t>S</t>
    </r>
    <r>
      <rPr>
        <b/>
        <sz val="12"/>
        <rFont val="細明體"/>
        <family val="3"/>
        <charset val="136"/>
      </rPr>
      <t>＝</t>
    </r>
    <r>
      <rPr>
        <b/>
        <sz val="12"/>
        <rFont val="Times New Roman"/>
        <family val="1"/>
      </rPr>
      <t>5.36</t>
    </r>
    <r>
      <rPr>
        <b/>
        <sz val="12"/>
        <rFont val="細明體"/>
        <family val="3"/>
        <charset val="136"/>
      </rPr>
      <t>元×</t>
    </r>
    <r>
      <rPr>
        <b/>
        <sz val="12"/>
        <rFont val="Times New Roman"/>
        <family val="1"/>
      </rPr>
      <t>X</t>
    </r>
    <r>
      <rPr>
        <b/>
        <vertAlign val="subscript"/>
        <sz val="12"/>
        <rFont val="Times New Roman"/>
        <family val="1"/>
      </rPr>
      <t>11</t>
    </r>
    <r>
      <rPr>
        <b/>
        <sz val="12"/>
        <rFont val="細明體"/>
        <family val="3"/>
        <charset val="136"/>
      </rPr>
      <t>＋</t>
    </r>
    <r>
      <rPr>
        <b/>
        <sz val="12"/>
        <rFont val="Times New Roman"/>
        <family val="1"/>
      </rPr>
      <t>1.84</t>
    </r>
    <r>
      <rPr>
        <b/>
        <sz val="12"/>
        <rFont val="細明體"/>
        <family val="3"/>
        <charset val="136"/>
      </rPr>
      <t>元×</t>
    </r>
    <r>
      <rPr>
        <b/>
        <sz val="12"/>
        <rFont val="Times New Roman"/>
        <family val="1"/>
      </rPr>
      <t>X</t>
    </r>
    <r>
      <rPr>
        <b/>
        <vertAlign val="subscript"/>
        <sz val="12"/>
        <rFont val="Times New Roman"/>
        <family val="1"/>
      </rPr>
      <t>21</t>
    </r>
    <r>
      <rPr>
        <b/>
        <sz val="12"/>
        <rFont val="細明體"/>
        <family val="3"/>
        <charset val="136"/>
      </rPr>
      <t>＋</t>
    </r>
    <r>
      <rPr>
        <b/>
        <sz val="12"/>
        <rFont val="Times New Roman"/>
        <family val="1"/>
      </rPr>
      <t>0.70</t>
    </r>
    <r>
      <rPr>
        <b/>
        <sz val="12"/>
        <rFont val="細明體"/>
        <family val="3"/>
        <charset val="136"/>
      </rPr>
      <t>元×</t>
    </r>
    <r>
      <rPr>
        <b/>
        <sz val="12"/>
        <rFont val="Times New Roman"/>
        <family val="1"/>
      </rPr>
      <t>X</t>
    </r>
    <r>
      <rPr>
        <b/>
        <vertAlign val="subscript"/>
        <sz val="12"/>
        <rFont val="Times New Roman"/>
        <family val="1"/>
      </rPr>
      <t>31</t>
    </r>
  </si>
  <si>
    <t>流動電費</t>
    <phoneticPr fontId="2" type="noConversion"/>
  </si>
  <si>
    <t>離峰契約電費</t>
    <phoneticPr fontId="2" type="noConversion"/>
  </si>
  <si>
    <t>周六半尖峰需量</t>
    <phoneticPr fontId="2" type="noConversion"/>
  </si>
  <si>
    <t>非夏月契約電價</t>
    <phoneticPr fontId="2" type="noConversion"/>
  </si>
  <si>
    <t>經常(尖峰)契約容量</t>
    <phoneticPr fontId="2" type="noConversion"/>
  </si>
  <si>
    <t>契約容量</t>
    <phoneticPr fontId="2" type="noConversion"/>
  </si>
  <si>
    <t>其他</t>
    <phoneticPr fontId="2" type="noConversion"/>
  </si>
  <si>
    <t>功率因數調整費</t>
    <phoneticPr fontId="2" type="noConversion"/>
  </si>
  <si>
    <t>尖峰度數</t>
    <phoneticPr fontId="2" type="noConversion"/>
  </si>
  <si>
    <t>週六半尖峰度數</t>
    <phoneticPr fontId="2" type="noConversion"/>
  </si>
  <si>
    <t>離峰度數</t>
    <phoneticPr fontId="2" type="noConversion"/>
  </si>
  <si>
    <t>http://www.taipower.com.tw/UpFile/_userfiles/file/%E5%96%AE%E5%BC%B5%E9%9B%BB%E5%83%B9%E8%A1%A8(%E4%B8%AD%E6%96%87).pdf</t>
  </si>
  <si>
    <t>資料來源參考-台灣電力公司105年10月1號公告</t>
    <phoneticPr fontId="2" type="noConversion"/>
  </si>
  <si>
    <t>1/1-1/31</t>
    <phoneticPr fontId="2" type="noConversion"/>
  </si>
  <si>
    <t>2/1-2/29</t>
    <phoneticPr fontId="2" type="noConversion"/>
  </si>
  <si>
    <t>3/1-3/31</t>
    <phoneticPr fontId="2" type="noConversion"/>
  </si>
  <si>
    <t>4/1-4/30</t>
    <phoneticPr fontId="2" type="noConversion"/>
  </si>
  <si>
    <t>5/1-5/31</t>
    <phoneticPr fontId="2" type="noConversion"/>
  </si>
  <si>
    <t>6/1-6/30</t>
    <phoneticPr fontId="2" type="noConversion"/>
  </si>
  <si>
    <t>7/1-7/31</t>
    <phoneticPr fontId="2" type="noConversion"/>
  </si>
  <si>
    <t>8/1-8/31</t>
    <phoneticPr fontId="2" type="noConversion"/>
  </si>
  <si>
    <t>9/1-9/30</t>
    <phoneticPr fontId="2" type="noConversion"/>
  </si>
  <si>
    <t>10/1-10/31</t>
    <phoneticPr fontId="2" type="noConversion"/>
  </si>
  <si>
    <t>11/1-11/30</t>
    <phoneticPr fontId="2" type="noConversion"/>
  </si>
  <si>
    <t>12/1-12/31</t>
    <phoneticPr fontId="2" type="noConversion"/>
  </si>
  <si>
    <t>差異數</t>
    <phoneticPr fontId="2" type="noConversion"/>
  </si>
  <si>
    <t>夏月</t>
    <phoneticPr fontId="2" type="noConversion"/>
  </si>
  <si>
    <t>非夏月</t>
    <phoneticPr fontId="2" type="noConversion"/>
  </si>
  <si>
    <r>
      <t>6-9</t>
    </r>
    <r>
      <rPr>
        <sz val="10"/>
        <color indexed="58"/>
        <rFont val="細明體"/>
        <family val="3"/>
        <charset val="136"/>
      </rPr>
      <t>月</t>
    </r>
    <phoneticPr fontId="2" type="noConversion"/>
  </si>
  <si>
    <t>週六半尖峰</t>
    <phoneticPr fontId="2" type="noConversion"/>
  </si>
  <si>
    <t>總合計(基本電費+流動電費+其他)</t>
    <phoneticPr fontId="2" type="noConversion"/>
  </si>
  <si>
    <r>
      <rPr>
        <b/>
        <sz val="10"/>
        <rFont val="細明體"/>
        <family val="3"/>
        <charset val="136"/>
      </rPr>
      <t>日期</t>
    </r>
    <phoneticPr fontId="2" type="noConversion"/>
  </si>
  <si>
    <r>
      <rPr>
        <b/>
        <sz val="10"/>
        <rFont val="細明體"/>
        <family val="3"/>
        <charset val="136"/>
      </rPr>
      <t>星期</t>
    </r>
    <phoneticPr fontId="2" type="noConversion"/>
  </si>
  <si>
    <r>
      <rPr>
        <b/>
        <sz val="10"/>
        <rFont val="細明體"/>
        <family val="3"/>
        <charset val="136"/>
      </rPr>
      <t>日用電度數</t>
    </r>
    <phoneticPr fontId="2" type="noConversion"/>
  </si>
  <si>
    <r>
      <rPr>
        <sz val="10"/>
        <rFont val="細明體"/>
        <family val="3"/>
        <charset val="136"/>
      </rPr>
      <t>高嘉</t>
    </r>
    <phoneticPr fontId="2" type="noConversion"/>
  </si>
  <si>
    <r>
      <rPr>
        <sz val="10"/>
        <rFont val="細明體"/>
        <family val="3"/>
        <charset val="136"/>
      </rPr>
      <t>三界</t>
    </r>
    <phoneticPr fontId="2" type="noConversion"/>
  </si>
  <si>
    <r>
      <rPr>
        <b/>
        <sz val="10"/>
        <rFont val="細明體"/>
        <family val="3"/>
        <charset val="136"/>
      </rPr>
      <t>倍率</t>
    </r>
    <phoneticPr fontId="2" type="noConversion"/>
  </si>
  <si>
    <r>
      <rPr>
        <sz val="10"/>
        <rFont val="細明體"/>
        <family val="3"/>
        <charset val="136"/>
      </rPr>
      <t>澺盟</t>
    </r>
    <phoneticPr fontId="2" type="noConversion"/>
  </si>
  <si>
    <r>
      <rPr>
        <sz val="10"/>
        <rFont val="細明體"/>
        <family val="3"/>
        <charset val="136"/>
      </rPr>
      <t>日</t>
    </r>
    <phoneticPr fontId="2" type="noConversion"/>
  </si>
  <si>
    <r>
      <rPr>
        <sz val="10"/>
        <rFont val="細明體"/>
        <family val="3"/>
        <charset val="136"/>
      </rPr>
      <t>一</t>
    </r>
    <phoneticPr fontId="2" type="noConversion"/>
  </si>
  <si>
    <r>
      <rPr>
        <sz val="10"/>
        <rFont val="細明體"/>
        <family val="3"/>
        <charset val="136"/>
      </rPr>
      <t>二</t>
    </r>
    <phoneticPr fontId="2" type="noConversion"/>
  </si>
  <si>
    <r>
      <rPr>
        <sz val="10"/>
        <rFont val="細明體"/>
        <family val="3"/>
        <charset val="136"/>
      </rPr>
      <t>三</t>
    </r>
    <phoneticPr fontId="2" type="noConversion"/>
  </si>
  <si>
    <r>
      <rPr>
        <sz val="10"/>
        <rFont val="細明體"/>
        <family val="3"/>
        <charset val="136"/>
      </rPr>
      <t>四</t>
    </r>
    <phoneticPr fontId="2" type="noConversion"/>
  </si>
  <si>
    <r>
      <rPr>
        <sz val="10"/>
        <rFont val="細明體"/>
        <family val="3"/>
        <charset val="136"/>
      </rPr>
      <t>五</t>
    </r>
    <phoneticPr fontId="2" type="noConversion"/>
  </si>
  <si>
    <r>
      <rPr>
        <sz val="10"/>
        <rFont val="細明體"/>
        <family val="3"/>
        <charset val="136"/>
      </rPr>
      <t>六</t>
    </r>
    <phoneticPr fontId="2" type="noConversion"/>
  </si>
  <si>
    <t>平均</t>
    <phoneticPr fontId="2" type="noConversion"/>
  </si>
  <si>
    <r>
      <rPr>
        <sz val="10"/>
        <color indexed="10"/>
        <rFont val="細明體"/>
        <family val="3"/>
        <charset val="136"/>
      </rPr>
      <t>六</t>
    </r>
    <phoneticPr fontId="2" type="noConversion"/>
  </si>
  <si>
    <r>
      <rPr>
        <sz val="10"/>
        <color indexed="10"/>
        <rFont val="細明體"/>
        <family val="3"/>
        <charset val="136"/>
      </rPr>
      <t>日</t>
    </r>
    <phoneticPr fontId="2" type="noConversion"/>
  </si>
  <si>
    <r>
      <rPr>
        <sz val="10"/>
        <color indexed="10"/>
        <rFont val="細明體"/>
        <family val="3"/>
        <charset val="136"/>
      </rPr>
      <t>一</t>
    </r>
    <phoneticPr fontId="2" type="noConversion"/>
  </si>
  <si>
    <r>
      <rPr>
        <sz val="10"/>
        <color indexed="10"/>
        <rFont val="細明體"/>
        <family val="3"/>
        <charset val="136"/>
      </rPr>
      <t>二</t>
    </r>
    <phoneticPr fontId="2" type="noConversion"/>
  </si>
  <si>
    <t>105/10~106/4</t>
    <phoneticPr fontId="2" type="noConversion"/>
  </si>
  <si>
    <t>台電</t>
    <phoneticPr fontId="2" type="noConversion"/>
  </si>
  <si>
    <t>超約附加費/其他</t>
    <phoneticPr fontId="2" type="noConversion"/>
  </si>
  <si>
    <t>台電本期請款電數合計</t>
    <phoneticPr fontId="2" type="noConversion"/>
  </si>
  <si>
    <t>高嘉依表計算</t>
    <phoneticPr fontId="2" type="noConversion"/>
  </si>
  <si>
    <t>(A)台灣電力公司-用電數總計</t>
    <phoneticPr fontId="2" type="noConversion"/>
  </si>
  <si>
    <t>(B)廠區內總用--電數合計</t>
    <phoneticPr fontId="2" type="noConversion"/>
  </si>
  <si>
    <t>(A)-(B)兩者差異</t>
    <phoneticPr fontId="2" type="noConversion"/>
  </si>
  <si>
    <t>推估高嘉夜間未開線</t>
    <phoneticPr fontId="2" type="noConversion"/>
  </si>
  <si>
    <t>每日早上8:00抄表度數</t>
    <phoneticPr fontId="2" type="noConversion"/>
  </si>
  <si>
    <r>
      <t>2月</t>
    </r>
    <r>
      <rPr>
        <sz val="10"/>
        <rFont val="細明體"/>
        <family val="3"/>
        <charset val="136"/>
      </rPr>
      <t/>
    </r>
  </si>
  <si>
    <r>
      <t>3月</t>
    </r>
    <r>
      <rPr>
        <sz val="10"/>
        <rFont val="細明體"/>
        <family val="3"/>
        <charset val="136"/>
      </rPr>
      <t/>
    </r>
  </si>
  <si>
    <r>
      <t>4月</t>
    </r>
    <r>
      <rPr>
        <sz val="10"/>
        <rFont val="細明體"/>
        <family val="3"/>
        <charset val="136"/>
      </rPr>
      <t/>
    </r>
  </si>
  <si>
    <r>
      <t>5月</t>
    </r>
    <r>
      <rPr>
        <sz val="10"/>
        <rFont val="細明體"/>
        <family val="3"/>
        <charset val="136"/>
      </rPr>
      <t/>
    </r>
  </si>
  <si>
    <r>
      <t>6月</t>
    </r>
    <r>
      <rPr>
        <sz val="10"/>
        <rFont val="細明體"/>
        <family val="3"/>
        <charset val="136"/>
      </rPr>
      <t/>
    </r>
  </si>
  <si>
    <r>
      <t>7月</t>
    </r>
    <r>
      <rPr>
        <sz val="10"/>
        <rFont val="細明體"/>
        <family val="3"/>
        <charset val="136"/>
      </rPr>
      <t/>
    </r>
  </si>
  <si>
    <r>
      <t>8月</t>
    </r>
    <r>
      <rPr>
        <sz val="10"/>
        <rFont val="細明體"/>
        <family val="3"/>
        <charset val="136"/>
      </rPr>
      <t/>
    </r>
  </si>
  <si>
    <r>
      <t>9月</t>
    </r>
    <r>
      <rPr>
        <sz val="10"/>
        <rFont val="細明體"/>
        <family val="3"/>
        <charset val="136"/>
      </rPr>
      <t/>
    </r>
  </si>
  <si>
    <r>
      <t>10月</t>
    </r>
    <r>
      <rPr>
        <sz val="10"/>
        <rFont val="細明體"/>
        <family val="3"/>
        <charset val="136"/>
      </rPr>
      <t/>
    </r>
  </si>
  <si>
    <r>
      <t>11月</t>
    </r>
    <r>
      <rPr>
        <sz val="10"/>
        <rFont val="細明體"/>
        <family val="3"/>
        <charset val="136"/>
      </rPr>
      <t/>
    </r>
  </si>
  <si>
    <r>
      <t>12月</t>
    </r>
    <r>
      <rPr>
        <sz val="10"/>
        <rFont val="細明體"/>
        <family val="3"/>
        <charset val="136"/>
      </rPr>
      <t/>
    </r>
  </si>
  <si>
    <t>用電數</t>
    <phoneticPr fontId="2" type="noConversion"/>
  </si>
  <si>
    <t>尖峰單價</t>
    <phoneticPr fontId="2" type="noConversion"/>
  </si>
  <si>
    <t>電費合計</t>
    <phoneticPr fontId="2" type="noConversion"/>
  </si>
  <si>
    <r>
      <t>1</t>
    </r>
    <r>
      <rPr>
        <sz val="12"/>
        <rFont val="細明體"/>
        <family val="3"/>
        <charset val="136"/>
      </rPr>
      <t>月</t>
    </r>
    <phoneticPr fontId="2" type="noConversion"/>
  </si>
  <si>
    <t>年度合計</t>
    <phoneticPr fontId="2" type="noConversion"/>
  </si>
  <si>
    <t>平均單價</t>
    <phoneticPr fontId="2" type="noConversion"/>
  </si>
  <si>
    <t>年度平均</t>
    <phoneticPr fontId="2" type="noConversion"/>
  </si>
  <si>
    <t>年分</t>
    <phoneticPr fontId="2" type="noConversion"/>
  </si>
  <si>
    <t>月份</t>
    <phoneticPr fontId="2" type="noConversion"/>
  </si>
  <si>
    <t>台電-廠區</t>
    <phoneticPr fontId="2" type="noConversion"/>
  </si>
  <si>
    <t>平均值</t>
    <phoneticPr fontId="2" type="noConversion"/>
  </si>
  <si>
    <t>較前一年度減少</t>
    <phoneticPr fontId="2" type="noConversion"/>
  </si>
  <si>
    <t>年度平均，較前一年度增減數</t>
    <phoneticPr fontId="2" type="noConversion"/>
  </si>
  <si>
    <r>
      <rPr>
        <sz val="10"/>
        <color rgb="FFFF0000"/>
        <rFont val="細明體"/>
        <family val="3"/>
        <charset val="136"/>
      </rPr>
      <t>五</t>
    </r>
    <phoneticPr fontId="2" type="noConversion"/>
  </si>
  <si>
    <r>
      <rPr>
        <b/>
        <sz val="11"/>
        <rFont val="細明體"/>
        <family val="3"/>
        <charset val="136"/>
      </rPr>
      <t>合計</t>
    </r>
    <phoneticPr fontId="2" type="noConversion"/>
  </si>
  <si>
    <r>
      <rPr>
        <b/>
        <sz val="11"/>
        <color indexed="58"/>
        <rFont val="細明體"/>
        <family val="3"/>
        <charset val="136"/>
      </rPr>
      <t>台電合計</t>
    </r>
    <phoneticPr fontId="2" type="noConversion"/>
  </si>
  <si>
    <r>
      <rPr>
        <sz val="10"/>
        <color rgb="FFFF0000"/>
        <rFont val="細明體"/>
        <family val="3"/>
        <charset val="136"/>
      </rPr>
      <t>四</t>
    </r>
    <phoneticPr fontId="2" type="noConversion"/>
  </si>
  <si>
    <t>最高需量</t>
    <phoneticPr fontId="2" type="noConversion"/>
  </si>
  <si>
    <t>200+XU11:Z11</t>
    <phoneticPr fontId="2" type="noConversion"/>
  </si>
  <si>
    <t>瓦數</t>
    <phoneticPr fontId="2" type="noConversion"/>
  </si>
  <si>
    <r>
      <rPr>
        <sz val="10"/>
        <rFont val="細明體"/>
        <family val="3"/>
        <charset val="136"/>
      </rPr>
      <t>時間</t>
    </r>
    <phoneticPr fontId="2" type="noConversion"/>
  </si>
  <si>
    <t>15:00/16:00</t>
    <phoneticPr fontId="2" type="noConversion"/>
  </si>
  <si>
    <t>10:45/11:00</t>
    <phoneticPr fontId="2" type="noConversion"/>
  </si>
  <si>
    <t>10:45/11:30</t>
    <phoneticPr fontId="2" type="noConversion"/>
  </si>
  <si>
    <t>14:00/15:15</t>
    <phoneticPr fontId="2" type="noConversion"/>
  </si>
  <si>
    <r>
      <rPr>
        <i/>
        <sz val="9"/>
        <rFont val="細明體"/>
        <family val="3"/>
        <charset val="136"/>
      </rPr>
      <t>高嘉</t>
    </r>
    <phoneticPr fontId="2" type="noConversion"/>
  </si>
  <si>
    <r>
      <rPr>
        <i/>
        <sz val="9"/>
        <rFont val="細明體"/>
        <family val="3"/>
        <charset val="136"/>
      </rPr>
      <t>澺盟</t>
    </r>
    <r>
      <rPr>
        <i/>
        <sz val="9"/>
        <rFont val="Arial Narrow"/>
        <family val="2"/>
      </rPr>
      <t>(1)</t>
    </r>
    <phoneticPr fontId="2" type="noConversion"/>
  </si>
  <si>
    <r>
      <rPr>
        <i/>
        <sz val="9"/>
        <rFont val="細明體"/>
        <family val="3"/>
        <charset val="136"/>
      </rPr>
      <t>澺盟</t>
    </r>
    <r>
      <rPr>
        <i/>
        <sz val="9"/>
        <rFont val="Arial Narrow"/>
        <family val="2"/>
      </rPr>
      <t>(2)</t>
    </r>
  </si>
  <si>
    <r>
      <rPr>
        <i/>
        <sz val="9"/>
        <rFont val="細明體"/>
        <family val="3"/>
        <charset val="136"/>
      </rPr>
      <t>澺盟</t>
    </r>
    <r>
      <rPr>
        <i/>
        <sz val="9"/>
        <rFont val="Arial Narrow"/>
        <family val="2"/>
      </rPr>
      <t>(3)</t>
    </r>
  </si>
  <si>
    <r>
      <rPr>
        <i/>
        <sz val="9"/>
        <rFont val="細明體"/>
        <family val="3"/>
        <charset val="136"/>
      </rPr>
      <t>澺盟</t>
    </r>
    <r>
      <rPr>
        <i/>
        <sz val="9"/>
        <rFont val="Arial Narrow"/>
        <family val="2"/>
      </rPr>
      <t>(4)</t>
    </r>
    <phoneticPr fontId="2" type="noConversion"/>
  </si>
  <si>
    <r>
      <rPr>
        <i/>
        <sz val="9"/>
        <rFont val="細明體"/>
        <family val="3"/>
        <charset val="136"/>
      </rPr>
      <t>三界</t>
    </r>
    <phoneticPr fontId="2" type="noConversion"/>
  </si>
  <si>
    <r>
      <t>8(</t>
    </r>
    <r>
      <rPr>
        <i/>
        <sz val="9"/>
        <rFont val="細明體"/>
        <family val="3"/>
        <charset val="136"/>
      </rPr>
      <t>離峰</t>
    </r>
    <r>
      <rPr>
        <i/>
        <sz val="9"/>
        <rFont val="Arial Narrow"/>
        <family val="2"/>
      </rPr>
      <t>)</t>
    </r>
    <phoneticPr fontId="2" type="noConversion"/>
  </si>
  <si>
    <t>12:00/14:30</t>
    <phoneticPr fontId="2" type="noConversion"/>
  </si>
  <si>
    <t>13:00/13:15</t>
    <phoneticPr fontId="2" type="noConversion"/>
  </si>
  <si>
    <t>12:15/14:45</t>
    <phoneticPr fontId="2" type="noConversion"/>
  </si>
  <si>
    <t>10:15/12:30</t>
    <phoneticPr fontId="2" type="noConversion"/>
  </si>
  <si>
    <t>13:45/14:45</t>
    <phoneticPr fontId="2" type="noConversion"/>
  </si>
  <si>
    <t>14:45/16:45</t>
    <phoneticPr fontId="2" type="noConversion"/>
  </si>
  <si>
    <t>10:30/14:00</t>
    <phoneticPr fontId="2" type="noConversion"/>
  </si>
  <si>
    <t>10:30-11:30</t>
    <phoneticPr fontId="2" type="noConversion"/>
  </si>
  <si>
    <t>10:15-11:30</t>
    <phoneticPr fontId="2" type="noConversion"/>
  </si>
  <si>
    <t>13:45-16:15</t>
    <phoneticPr fontId="2" type="noConversion"/>
  </si>
  <si>
    <t>13:30-15:45</t>
    <phoneticPr fontId="2" type="noConversion"/>
  </si>
  <si>
    <t>9:45/11:30</t>
    <phoneticPr fontId="2" type="noConversion"/>
  </si>
  <si>
    <t>11:15/14:15/14:45</t>
    <phoneticPr fontId="2" type="noConversion"/>
  </si>
  <si>
    <t>10:30/12:00</t>
    <phoneticPr fontId="2" type="noConversion"/>
  </si>
  <si>
    <t>15:00/15:30</t>
    <phoneticPr fontId="2" type="noConversion"/>
  </si>
  <si>
    <t>1:15/20:45</t>
    <phoneticPr fontId="2" type="noConversion"/>
  </si>
  <si>
    <t>2:45/4:15</t>
    <phoneticPr fontId="2" type="noConversion"/>
  </si>
  <si>
    <t>3:00/23:30</t>
    <phoneticPr fontId="2" type="noConversion"/>
  </si>
  <si>
    <t>9:00/10:45</t>
    <phoneticPr fontId="2" type="noConversion"/>
  </si>
  <si>
    <t>1:00/1:15/2:00/2:15</t>
    <phoneticPr fontId="2" type="noConversion"/>
  </si>
  <si>
    <t>10:30/14:30</t>
    <phoneticPr fontId="2" type="noConversion"/>
  </si>
  <si>
    <t>10:45/14:15</t>
    <phoneticPr fontId="2" type="noConversion"/>
  </si>
  <si>
    <t>2:00/2:15</t>
    <phoneticPr fontId="2" type="noConversion"/>
  </si>
  <si>
    <t>9:15/10:45</t>
    <phoneticPr fontId="2" type="noConversion"/>
  </si>
  <si>
    <t>9:45/16:15</t>
    <phoneticPr fontId="2" type="noConversion"/>
  </si>
  <si>
    <t>16:45/17:45</t>
    <phoneticPr fontId="2" type="noConversion"/>
  </si>
  <si>
    <t>9:00/15:00</t>
    <phoneticPr fontId="2" type="noConversion"/>
  </si>
  <si>
    <t>00:15/03:00</t>
    <phoneticPr fontId="2" type="noConversion"/>
  </si>
  <si>
    <t>米鑫</t>
    <phoneticPr fontId="2" type="noConversion"/>
  </si>
  <si>
    <t>五</t>
    <phoneticPr fontId="82" type="noConversion"/>
  </si>
  <si>
    <t>日</t>
    <phoneticPr fontId="82" type="noConversion"/>
  </si>
  <si>
    <t>一</t>
    <phoneticPr fontId="82" type="noConversion"/>
  </si>
  <si>
    <t>二</t>
    <phoneticPr fontId="82" type="noConversion"/>
  </si>
  <si>
    <t>三</t>
    <phoneticPr fontId="82" type="noConversion"/>
  </si>
  <si>
    <t>四</t>
    <phoneticPr fontId="82" type="noConversion"/>
  </si>
  <si>
    <r>
      <rPr>
        <sz val="11"/>
        <color theme="1"/>
        <rFont val="新細明體"/>
        <family val="2"/>
        <charset val="136"/>
      </rPr>
      <t>六</t>
    </r>
    <phoneticPr fontId="82" type="noConversion"/>
  </si>
  <si>
    <t>9:30/23:30</t>
    <phoneticPr fontId="2" type="noConversion"/>
  </si>
  <si>
    <t>10:00/13:15</t>
    <phoneticPr fontId="2" type="noConversion"/>
  </si>
  <si>
    <r>
      <rPr>
        <sz val="11"/>
        <color rgb="FFFF0000"/>
        <rFont val="新細明體"/>
        <family val="2"/>
        <charset val="136"/>
      </rPr>
      <t>六</t>
    </r>
    <phoneticPr fontId="82" type="noConversion"/>
  </si>
  <si>
    <t>23:00/23:15</t>
    <phoneticPr fontId="2" type="noConversion"/>
  </si>
  <si>
    <t>00:45/01:00</t>
    <phoneticPr fontId="2" type="noConversion"/>
  </si>
  <si>
    <t>9:15/9:45</t>
    <phoneticPr fontId="2" type="noConversion"/>
  </si>
  <si>
    <t>1:00/2:30</t>
    <phoneticPr fontId="2" type="noConversion"/>
  </si>
  <si>
    <t>16:30/16:45</t>
    <phoneticPr fontId="2" type="noConversion"/>
  </si>
  <si>
    <t>14:45/15:00</t>
    <phoneticPr fontId="2" type="noConversion"/>
  </si>
  <si>
    <t>11:/15:14/15</t>
    <phoneticPr fontId="2" type="noConversion"/>
  </si>
  <si>
    <t>米鑫2</t>
    <phoneticPr fontId="2" type="noConversion"/>
  </si>
  <si>
    <t>無法讀取資料</t>
    <phoneticPr fontId="2" type="noConversion"/>
  </si>
  <si>
    <t>9:30/11:30</t>
    <phoneticPr fontId="2" type="noConversion"/>
  </si>
  <si>
    <t>9:30/13:00</t>
    <phoneticPr fontId="2" type="noConversion"/>
  </si>
  <si>
    <t>一</t>
  </si>
  <si>
    <t>二</t>
  </si>
  <si>
    <t>三</t>
  </si>
  <si>
    <t>四</t>
  </si>
  <si>
    <t>五</t>
  </si>
  <si>
    <t>六</t>
  </si>
  <si>
    <t>日</t>
  </si>
  <si>
    <t>8(離峰)</t>
  </si>
  <si>
    <t>全日度數</t>
    <phoneticPr fontId="2" type="noConversion"/>
  </si>
  <si>
    <r>
      <t>9-5</t>
    </r>
    <r>
      <rPr>
        <sz val="10"/>
        <rFont val="細明體"/>
        <family val="3"/>
        <charset val="136"/>
      </rPr>
      <t>號1樓高嘉廠區</t>
    </r>
    <phoneticPr fontId="2" type="noConversion"/>
  </si>
  <si>
    <t>米鑫3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</si>
</sst>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$&quot;#,##0_);[Red]\(&quot;$&quot;#,##0\)"/>
    <numFmt numFmtId="177" formatCode="_ * #,##0.00_ ;_ * \-#,##0.00_ ;_ * &quot;-&quot;??_ ;_ @_ "/>
    <numFmt numFmtId="178" formatCode="_(\$* #,##0.00_);_(\$* \(#,##0.00\);_(\$* &quot;-&quot;??_);_(@_)"/>
    <numFmt numFmtId="179" formatCode="_ * #,##0.0_ ;_ * \-#,##0.0_ ;_ * &quot;-&quot;??_ ;_ @_ "/>
    <numFmt numFmtId="180" formatCode="_ * #,##0_ ;_ * \-#,##0_ ;_ * &quot;-&quot;??_ ;_ @_ "/>
    <numFmt numFmtId="181" formatCode="_(\$* #,##0.0_);_(\$* \(#,##0.0\);_(\$* &quot;-&quot;??_);_(@_)"/>
    <numFmt numFmtId="182" formatCode="_(\$* #,##0_);_(\$* \(#,##0\);_(\$* &quot;-&quot;??_);_(@_)"/>
    <numFmt numFmtId="183" formatCode="m/d;@"/>
    <numFmt numFmtId="184" formatCode="_-* #,##0_-;\-* #,##0_-;_-* &quot;-&quot;??_-;_-@_-"/>
  </numFmts>
  <fonts count="98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細明體"/>
      <family val="3"/>
      <charset val="136"/>
    </font>
    <font>
      <b/>
      <sz val="10"/>
      <name val="Arial"/>
      <family val="2"/>
    </font>
    <font>
      <sz val="12"/>
      <name val="細明體"/>
      <family val="3"/>
      <charset val="136"/>
    </font>
    <font>
      <sz val="12"/>
      <name val="Arial"/>
      <family val="2"/>
    </font>
    <font>
      <b/>
      <sz val="11"/>
      <name val="Arial"/>
      <family val="2"/>
    </font>
    <font>
      <sz val="16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vertAlign val="subscript"/>
      <sz val="12"/>
      <name val="Times New Roman"/>
      <family val="1"/>
    </font>
    <font>
      <u/>
      <sz val="12"/>
      <name val="Times New Roman"/>
      <family val="1"/>
    </font>
    <font>
      <u/>
      <sz val="12"/>
      <name val="細明體"/>
      <family val="3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vertAlign val="subscript"/>
      <sz val="12"/>
      <name val="Times New Roman"/>
      <family val="1"/>
    </font>
    <font>
      <b/>
      <sz val="14"/>
      <name val="細明體"/>
      <family val="3"/>
      <charset val="136"/>
    </font>
    <font>
      <sz val="10"/>
      <color indexed="58"/>
      <name val="細明體"/>
      <family val="3"/>
      <charset val="136"/>
    </font>
    <font>
      <b/>
      <sz val="11"/>
      <name val="細明體"/>
      <family val="3"/>
      <charset val="136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10"/>
      <name val="細明體"/>
      <family val="3"/>
      <charset val="136"/>
    </font>
    <font>
      <sz val="11"/>
      <name val="Arial"/>
      <family val="2"/>
    </font>
    <font>
      <sz val="11"/>
      <name val="細明體"/>
      <family val="3"/>
      <charset val="136"/>
    </font>
    <font>
      <i/>
      <sz val="10"/>
      <name val="Arial Narrow"/>
      <family val="2"/>
    </font>
    <font>
      <i/>
      <sz val="12"/>
      <name val="細明體"/>
      <family val="3"/>
      <charset val="136"/>
    </font>
    <font>
      <i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 Narrow"/>
      <family val="2"/>
    </font>
    <font>
      <b/>
      <sz val="11"/>
      <color indexed="58"/>
      <name val="細明體"/>
      <family val="3"/>
      <charset val="136"/>
    </font>
    <font>
      <b/>
      <sz val="8"/>
      <name val="細明體"/>
      <family val="3"/>
      <charset val="136"/>
    </font>
    <font>
      <sz val="10"/>
      <color rgb="FF000099"/>
      <name val="Arial"/>
      <family val="2"/>
    </font>
    <font>
      <sz val="10"/>
      <color rgb="FF003300"/>
      <name val="細明體"/>
      <family val="3"/>
      <charset val="136"/>
    </font>
    <font>
      <sz val="10"/>
      <color rgb="FF0033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000099"/>
      <name val="Arial"/>
      <family val="2"/>
    </font>
    <font>
      <sz val="10"/>
      <color rgb="FF000099"/>
      <name val="Arial Narrow"/>
      <family val="2"/>
    </font>
    <font>
      <sz val="10"/>
      <color theme="0" tint="-0.14999847407452621"/>
      <name val="Arial Narrow"/>
      <family val="2"/>
    </font>
    <font>
      <sz val="10"/>
      <color rgb="FFFF0000"/>
      <name val="Arial Narrow"/>
      <family val="2"/>
    </font>
    <font>
      <b/>
      <sz val="10"/>
      <color rgb="FF003300"/>
      <name val="Arial"/>
      <family val="2"/>
    </font>
    <font>
      <sz val="9"/>
      <color rgb="FF003300"/>
      <name val="Arial"/>
      <family val="2"/>
    </font>
    <font>
      <sz val="10"/>
      <color theme="1"/>
      <name val="Arial Narrow"/>
      <family val="2"/>
    </font>
    <font>
      <sz val="10"/>
      <color rgb="FF003300"/>
      <name val="Arial Narrow"/>
      <family val="2"/>
    </font>
    <font>
      <b/>
      <sz val="10"/>
      <color rgb="FF003300"/>
      <name val="Arial Narrow"/>
      <family val="2"/>
    </font>
    <font>
      <i/>
      <sz val="10"/>
      <color theme="0" tint="-0.14999847407452621"/>
      <name val="Arial Narrow"/>
      <family val="2"/>
    </font>
    <font>
      <i/>
      <sz val="10"/>
      <color theme="1"/>
      <name val="Arial Narrow"/>
      <family val="2"/>
    </font>
    <font>
      <i/>
      <sz val="10"/>
      <color rgb="FF003399"/>
      <name val="Arial Narrow"/>
      <family val="2"/>
    </font>
    <font>
      <b/>
      <i/>
      <sz val="10"/>
      <color rgb="FF003399"/>
      <name val="Arial Narrow"/>
      <family val="2"/>
    </font>
    <font>
      <b/>
      <sz val="10"/>
      <color rgb="FF000099"/>
      <name val="細明體"/>
      <family val="3"/>
      <charset val="136"/>
    </font>
    <font>
      <b/>
      <sz val="10"/>
      <color rgb="FF000099"/>
      <name val="Arial"/>
      <family val="2"/>
    </font>
    <font>
      <sz val="10"/>
      <color theme="0" tint="-4.9989318521683403E-2"/>
      <name val="Arial Narrow"/>
      <family val="2"/>
    </font>
    <font>
      <b/>
      <sz val="11"/>
      <color rgb="FF003300"/>
      <name val="Arial Narrow"/>
      <family val="2"/>
    </font>
    <font>
      <i/>
      <sz val="10"/>
      <color theme="0" tint="-4.9989318521683403E-2"/>
      <name val="Arial Narrow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i/>
      <sz val="10"/>
      <color rgb="FFFF0000"/>
      <name val="Arial Narrow"/>
      <family val="2"/>
    </font>
    <font>
      <i/>
      <sz val="10"/>
      <color rgb="FF00B050"/>
      <name val="Arial Narrow"/>
      <family val="2"/>
    </font>
    <font>
      <sz val="12"/>
      <color rgb="FF000099"/>
      <name val="細明體"/>
      <family val="3"/>
      <charset val="136"/>
    </font>
    <font>
      <sz val="12"/>
      <color rgb="FF000099"/>
      <name val="Arial"/>
      <family val="2"/>
    </font>
    <font>
      <i/>
      <sz val="12"/>
      <color rgb="FF000099"/>
      <name val="Arial"/>
      <family val="2"/>
    </font>
    <font>
      <sz val="12"/>
      <color theme="1"/>
      <name val="細明體"/>
      <family val="3"/>
      <charset val="136"/>
    </font>
    <font>
      <i/>
      <sz val="12"/>
      <color theme="1"/>
      <name val="Arial"/>
      <family val="2"/>
    </font>
    <font>
      <b/>
      <sz val="10"/>
      <color theme="1"/>
      <name val="細明體"/>
      <family val="3"/>
      <charset val="136"/>
    </font>
    <font>
      <b/>
      <sz val="10"/>
      <color theme="1"/>
      <name val="Arial Narrow"/>
      <family val="2"/>
    </font>
    <font>
      <b/>
      <sz val="10"/>
      <color rgb="FF003300"/>
      <name val="細明體"/>
      <family val="3"/>
      <charset val="136"/>
    </font>
    <font>
      <sz val="10"/>
      <color rgb="FFFF0000"/>
      <name val="細明體"/>
      <family val="3"/>
      <charset val="136"/>
    </font>
    <font>
      <i/>
      <sz val="10"/>
      <color theme="1" tint="4.9989318521683403E-2"/>
      <name val="Arial Narrow"/>
      <family val="2"/>
    </font>
    <font>
      <sz val="10"/>
      <name val="Arial Black"/>
      <family val="2"/>
    </font>
    <font>
      <sz val="10"/>
      <color rgb="FFFF0000"/>
      <name val="Arial Black"/>
      <family val="2"/>
    </font>
    <font>
      <sz val="9"/>
      <name val="Arial Narrow"/>
      <family val="2"/>
    </font>
    <font>
      <sz val="9"/>
      <color rgb="FFFF0000"/>
      <name val="Arial Narrow"/>
      <family val="2"/>
    </font>
    <font>
      <i/>
      <sz val="9"/>
      <name val="Arial Narrow"/>
      <family val="2"/>
    </font>
    <font>
      <i/>
      <sz val="9"/>
      <name val="細明體"/>
      <family val="3"/>
      <charset val="136"/>
    </font>
    <font>
      <i/>
      <sz val="9"/>
      <color theme="0" tint="-4.9989318521683403E-2"/>
      <name val="Arial Narrow"/>
      <family val="2"/>
    </font>
    <font>
      <i/>
      <sz val="9"/>
      <color theme="1" tint="4.9989318521683403E-2"/>
      <name val="Arial Narrow"/>
      <family val="2"/>
    </font>
    <font>
      <i/>
      <sz val="9"/>
      <color theme="0" tint="-0.14999847407452621"/>
      <name val="Arial Narrow"/>
      <family val="2"/>
    </font>
    <font>
      <sz val="6"/>
      <name val="Arial Narrow"/>
      <family val="2"/>
    </font>
    <font>
      <sz val="11"/>
      <color rgb="FFFF0000"/>
      <name val="Arial"/>
      <family val="2"/>
    </font>
    <font>
      <sz val="9"/>
      <name val="新細明體"/>
      <family val="2"/>
      <charset val="136"/>
      <scheme val="minor"/>
    </font>
    <font>
      <sz val="11"/>
      <color theme="1"/>
      <name val="Arial Narrow"/>
      <family val="2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  <font>
      <sz val="11"/>
      <color rgb="FFFF0000"/>
      <name val="Arial Narrow"/>
      <family val="2"/>
    </font>
    <font>
      <sz val="11"/>
      <color rgb="FFFF0000"/>
      <name val="細明體"/>
      <family val="3"/>
      <charset val="136"/>
    </font>
    <font>
      <sz val="11"/>
      <color rgb="FFFF0000"/>
      <name val="新細明體"/>
      <family val="2"/>
      <charset val="136"/>
    </font>
    <font>
      <b/>
      <sz val="10"/>
      <color rgb="FFFF0000"/>
      <name val="Arial Narrow"/>
      <family val="2"/>
    </font>
    <font>
      <i/>
      <sz val="10"/>
      <color theme="0" tint="-0.249977111117893"/>
      <name val="Arial Narrow"/>
      <family val="2"/>
    </font>
    <font>
      <sz val="8"/>
      <name val="細明體"/>
      <family val="3"/>
      <charset val="136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2" borderId="33" applyNumberFormat="0" applyFont="0" applyAlignment="0" applyProtection="0">
      <alignment vertical="center"/>
    </xf>
  </cellStyleXfs>
  <cellXfs count="3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justify" vertical="center"/>
    </xf>
    <xf numFmtId="0" fontId="6" fillId="0" borderId="34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justify"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3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7" xfId="0" applyFont="1" applyBorder="1" applyAlignment="1"/>
    <xf numFmtId="179" fontId="0" fillId="0" borderId="17" xfId="1" applyNumberFormat="1" applyFont="1" applyBorder="1" applyAlignment="1"/>
    <xf numFmtId="0" fontId="3" fillId="0" borderId="10" xfId="0" applyFont="1" applyBorder="1" applyAlignment="1"/>
    <xf numFmtId="179" fontId="0" fillId="0" borderId="10" xfId="1" applyNumberFormat="1" applyFont="1" applyBorder="1" applyAlignment="1"/>
    <xf numFmtId="0" fontId="34" fillId="0" borderId="17" xfId="0" applyFont="1" applyBorder="1" applyAlignment="1"/>
    <xf numFmtId="180" fontId="37" fillId="0" borderId="17" xfId="1" applyNumberFormat="1" applyFont="1" applyBorder="1" applyAlignment="1"/>
    <xf numFmtId="182" fontId="38" fillId="4" borderId="11" xfId="2" applyNumberFormat="1" applyFont="1" applyFill="1" applyBorder="1" applyAlignment="1"/>
    <xf numFmtId="0" fontId="16" fillId="0" borderId="18" xfId="0" applyFont="1" applyBorder="1" applyAlignment="1">
      <alignment horizontal="center"/>
    </xf>
    <xf numFmtId="0" fontId="0" fillId="0" borderId="17" xfId="0" applyBorder="1" applyAlignment="1"/>
    <xf numFmtId="178" fontId="0" fillId="0" borderId="17" xfId="0" applyNumberFormat="1" applyBorder="1" applyAlignment="1"/>
    <xf numFmtId="180" fontId="34" fillId="0" borderId="17" xfId="1" applyNumberFormat="1" applyFont="1" applyBorder="1" applyAlignment="1"/>
    <xf numFmtId="180" fontId="1" fillId="4" borderId="11" xfId="1" applyNumberFormat="1" applyFont="1" applyFill="1" applyBorder="1" applyAlignment="1"/>
    <xf numFmtId="182" fontId="1" fillId="4" borderId="11" xfId="2" applyNumberFormat="1" applyFont="1" applyFill="1" applyBorder="1" applyAlignment="1"/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182" fontId="34" fillId="0" borderId="17" xfId="2" applyNumberFormat="1" applyFont="1" applyBorder="1" applyAlignment="1"/>
    <xf numFmtId="182" fontId="39" fillId="0" borderId="17" xfId="2" applyNumberFormat="1" applyFont="1" applyBorder="1" applyAlignment="1"/>
    <xf numFmtId="180" fontId="1" fillId="3" borderId="1" xfId="1" applyNumberFormat="1" applyFont="1" applyFill="1" applyBorder="1" applyAlignment="1"/>
    <xf numFmtId="182" fontId="0" fillId="3" borderId="1" xfId="0" applyNumberFormat="1" applyFill="1" applyBorder="1" applyAlignment="1"/>
    <xf numFmtId="0" fontId="36" fillId="0" borderId="0" xfId="0" applyFont="1" applyAlignment="1"/>
    <xf numFmtId="183" fontId="21" fillId="0" borderId="1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38" fontId="22" fillId="0" borderId="8" xfId="0" applyNumberFormat="1" applyFont="1" applyBorder="1" applyAlignment="1">
      <alignment horizontal="center" vertical="center"/>
    </xf>
    <xf numFmtId="38" fontId="22" fillId="0" borderId="1" xfId="0" applyNumberFormat="1" applyFont="1" applyBorder="1" applyAlignment="1">
      <alignment horizontal="center" vertical="center"/>
    </xf>
    <xf numFmtId="183" fontId="22" fillId="0" borderId="1" xfId="0" applyNumberFormat="1" applyFont="1" applyBorder="1">
      <alignment vertical="center"/>
    </xf>
    <xf numFmtId="183" fontId="22" fillId="0" borderId="1" xfId="0" applyNumberFormat="1" applyFont="1" applyBorder="1" applyAlignment="1">
      <alignment horizontal="center" vertical="center"/>
    </xf>
    <xf numFmtId="38" fontId="22" fillId="0" borderId="1" xfId="1" applyNumberFormat="1" applyFont="1" applyBorder="1" applyAlignment="1">
      <alignment horizontal="center" vertical="center"/>
    </xf>
    <xf numFmtId="180" fontId="40" fillId="0" borderId="1" xfId="1" applyNumberFormat="1" applyFont="1" applyBorder="1" applyAlignment="1">
      <alignment horizontal="center" vertical="center"/>
    </xf>
    <xf numFmtId="180" fontId="41" fillId="0" borderId="1" xfId="1" applyNumberFormat="1" applyFont="1" applyBorder="1" applyAlignment="1">
      <alignment horizontal="center" vertical="center"/>
    </xf>
    <xf numFmtId="0" fontId="22" fillId="0" borderId="0" xfId="0" applyFont="1" applyAlignment="1"/>
    <xf numFmtId="180" fontId="22" fillId="0" borderId="1" xfId="1" applyNumberFormat="1" applyFont="1" applyBorder="1" applyAlignment="1">
      <alignment horizontal="center"/>
    </xf>
    <xf numFmtId="183" fontId="22" fillId="0" borderId="0" xfId="0" applyNumberFormat="1" applyFont="1">
      <alignment vertical="center"/>
    </xf>
    <xf numFmtId="38" fontId="22" fillId="0" borderId="0" xfId="0" applyNumberFormat="1" applyFont="1">
      <alignment vertical="center"/>
    </xf>
    <xf numFmtId="180" fontId="41" fillId="0" borderId="1" xfId="1" applyNumberFormat="1" applyFont="1" applyBorder="1" applyAlignment="1">
      <alignment horizontal="center"/>
    </xf>
    <xf numFmtId="183" fontId="42" fillId="0" borderId="1" xfId="0" applyNumberFormat="1" applyFont="1" applyBorder="1" applyAlignment="1">
      <alignment horizontal="center" vertical="center"/>
    </xf>
    <xf numFmtId="0" fontId="43" fillId="0" borderId="0" xfId="0" applyFont="1" applyAlignment="1"/>
    <xf numFmtId="180" fontId="43" fillId="0" borderId="0" xfId="1" applyNumberFormat="1" applyFont="1" applyAlignment="1"/>
    <xf numFmtId="0" fontId="5" fillId="0" borderId="0" xfId="0" applyFont="1" applyAlignment="1"/>
    <xf numFmtId="180" fontId="43" fillId="0" borderId="22" xfId="1" applyNumberFormat="1" applyFont="1" applyBorder="1" applyAlignment="1"/>
    <xf numFmtId="38" fontId="5" fillId="0" borderId="0" xfId="0" applyNumberFormat="1" applyFont="1" applyAlignment="1"/>
    <xf numFmtId="38" fontId="8" fillId="0" borderId="0" xfId="0" applyNumberFormat="1" applyFont="1" applyAlignment="1"/>
    <xf numFmtId="181" fontId="44" fillId="0" borderId="17" xfId="2" applyNumberFormat="1" applyFont="1" applyBorder="1" applyAlignment="1"/>
    <xf numFmtId="181" fontId="44" fillId="0" borderId="10" xfId="2" applyNumberFormat="1" applyFont="1" applyBorder="1" applyAlignment="1"/>
    <xf numFmtId="178" fontId="44" fillId="0" borderId="17" xfId="2" applyFont="1" applyBorder="1" applyAlignment="1"/>
    <xf numFmtId="178" fontId="44" fillId="0" borderId="10" xfId="2" applyFont="1" applyBorder="1" applyAlignment="1"/>
    <xf numFmtId="180" fontId="0" fillId="0" borderId="1" xfId="1" applyNumberFormat="1" applyFont="1" applyBorder="1" applyAlignment="1">
      <alignment horizontal="center"/>
    </xf>
    <xf numFmtId="180" fontId="0" fillId="0" borderId="17" xfId="1" applyNumberFormat="1" applyFont="1" applyBorder="1" applyAlignment="1"/>
    <xf numFmtId="180" fontId="0" fillId="0" borderId="10" xfId="1" applyNumberFormat="1" applyFont="1" applyBorder="1" applyAlignment="1"/>
    <xf numFmtId="180" fontId="38" fillId="4" borderId="11" xfId="1" applyNumberFormat="1" applyFont="1" applyFill="1" applyBorder="1" applyAlignment="1"/>
    <xf numFmtId="180" fontId="39" fillId="0" borderId="17" xfId="1" applyNumberFormat="1" applyFont="1" applyBorder="1" applyAlignment="1"/>
    <xf numFmtId="180" fontId="0" fillId="0" borderId="0" xfId="1" applyNumberFormat="1" applyFont="1" applyAlignment="1"/>
    <xf numFmtId="0" fontId="24" fillId="0" borderId="0" xfId="0" applyFont="1" applyAlignment="1"/>
    <xf numFmtId="0" fontId="25" fillId="0" borderId="0" xfId="0" applyFont="1" applyAlignment="1"/>
    <xf numFmtId="180" fontId="24" fillId="0" borderId="0" xfId="1" applyNumberFormat="1" applyFont="1" applyAlignment="1"/>
    <xf numFmtId="180" fontId="45" fillId="0" borderId="1" xfId="1" applyNumberFormat="1" applyFont="1" applyBorder="1" applyAlignment="1">
      <alignment horizontal="center"/>
    </xf>
    <xf numFmtId="38" fontId="46" fillId="0" borderId="1" xfId="0" applyNumberFormat="1" applyFont="1" applyBorder="1" applyAlignment="1">
      <alignment horizontal="center" vertical="center"/>
    </xf>
    <xf numFmtId="38" fontId="46" fillId="0" borderId="0" xfId="0" applyNumberFormat="1" applyFont="1">
      <alignment vertical="center"/>
    </xf>
    <xf numFmtId="38" fontId="21" fillId="0" borderId="1" xfId="0" applyNumberFormat="1" applyFont="1" applyBorder="1" applyAlignment="1">
      <alignment horizontal="center" vertical="center"/>
    </xf>
    <xf numFmtId="38" fontId="47" fillId="0" borderId="1" xfId="0" applyNumberFormat="1" applyFont="1" applyBorder="1" applyAlignment="1">
      <alignment horizontal="center" vertical="center"/>
    </xf>
    <xf numFmtId="38" fontId="45" fillId="6" borderId="1" xfId="0" applyNumberFormat="1" applyFont="1" applyFill="1" applyBorder="1" applyAlignment="1">
      <alignment horizontal="center" vertical="center"/>
    </xf>
    <xf numFmtId="38" fontId="21" fillId="4" borderId="1" xfId="3" applyNumberFormat="1" applyFont="1" applyFill="1" applyBorder="1" applyAlignment="1">
      <alignment horizontal="center" vertical="center"/>
    </xf>
    <xf numFmtId="0" fontId="22" fillId="4" borderId="0" xfId="0" applyFont="1" applyFill="1">
      <alignment vertical="center"/>
    </xf>
    <xf numFmtId="38" fontId="45" fillId="4" borderId="1" xfId="0" applyNumberFormat="1" applyFont="1" applyFill="1" applyBorder="1" applyAlignment="1">
      <alignment horizontal="center" vertical="center"/>
    </xf>
    <xf numFmtId="184" fontId="48" fillId="0" borderId="1" xfId="1" applyNumberFormat="1" applyFont="1" applyBorder="1" applyAlignment="1"/>
    <xf numFmtId="184" fontId="49" fillId="0" borderId="1" xfId="1" applyNumberFormat="1" applyFont="1" applyBorder="1" applyAlignment="1"/>
    <xf numFmtId="38" fontId="50" fillId="0" borderId="1" xfId="1" applyNumberFormat="1" applyFont="1" applyBorder="1" applyAlignment="1">
      <alignment horizontal="center" vertical="center"/>
    </xf>
    <xf numFmtId="38" fontId="50" fillId="4" borderId="1" xfId="3" applyNumberFormat="1" applyFont="1" applyFill="1" applyBorder="1" applyAlignment="1">
      <alignment horizontal="center" vertical="center"/>
    </xf>
    <xf numFmtId="38" fontId="51" fillId="4" borderId="1" xfId="3" applyNumberFormat="1" applyFont="1" applyFill="1" applyBorder="1" applyAlignment="1">
      <alignment horizontal="center" vertical="center"/>
    </xf>
    <xf numFmtId="38" fontId="50" fillId="0" borderId="1" xfId="0" applyNumberFormat="1" applyFont="1" applyBorder="1" applyAlignment="1">
      <alignment horizontal="center" vertical="center"/>
    </xf>
    <xf numFmtId="38" fontId="51" fillId="0" borderId="1" xfId="0" applyNumberFormat="1" applyFont="1" applyBorder="1" applyAlignment="1">
      <alignment horizontal="center" vertical="center"/>
    </xf>
    <xf numFmtId="38" fontId="50" fillId="4" borderId="1" xfId="0" applyNumberFormat="1" applyFont="1" applyFill="1" applyBorder="1" applyAlignment="1">
      <alignment horizontal="center" vertical="center"/>
    </xf>
    <xf numFmtId="179" fontId="41" fillId="0" borderId="1" xfId="1" applyNumberFormat="1" applyFont="1" applyBorder="1" applyAlignment="1">
      <alignment horizontal="center" vertical="center"/>
    </xf>
    <xf numFmtId="179" fontId="40" fillId="0" borderId="1" xfId="1" applyNumberFormat="1" applyFont="1" applyBorder="1" applyAlignment="1">
      <alignment horizontal="center" vertical="center"/>
    </xf>
    <xf numFmtId="179" fontId="22" fillId="0" borderId="1" xfId="1" applyNumberFormat="1" applyFont="1" applyBorder="1" applyAlignment="1">
      <alignment horizontal="center"/>
    </xf>
    <xf numFmtId="179" fontId="41" fillId="0" borderId="1" xfId="1" applyNumberFormat="1" applyFont="1" applyBorder="1" applyAlignment="1">
      <alignment horizontal="center"/>
    </xf>
    <xf numFmtId="180" fontId="22" fillId="8" borderId="1" xfId="1" applyNumberFormat="1" applyFont="1" applyFill="1" applyBorder="1" applyAlignment="1">
      <alignment horizontal="center"/>
    </xf>
    <xf numFmtId="38" fontId="34" fillId="0" borderId="17" xfId="2" applyNumberFormat="1" applyFont="1" applyBorder="1" applyAlignment="1"/>
    <xf numFmtId="38" fontId="22" fillId="4" borderId="1" xfId="0" applyNumberFormat="1" applyFont="1" applyFill="1" applyBorder="1" applyAlignment="1">
      <alignment horizontal="center" vertical="center"/>
    </xf>
    <xf numFmtId="180" fontId="22" fillId="4" borderId="1" xfId="1" applyNumberFormat="1" applyFont="1" applyFill="1" applyBorder="1" applyAlignment="1">
      <alignment horizontal="center"/>
    </xf>
    <xf numFmtId="180" fontId="42" fillId="0" borderId="1" xfId="1" applyNumberFormat="1" applyFont="1" applyBorder="1" applyAlignment="1">
      <alignment horizontal="center"/>
    </xf>
    <xf numFmtId="180" fontId="54" fillId="0" borderId="1" xfId="1" applyNumberFormat="1" applyFont="1" applyBorder="1" applyAlignment="1">
      <alignment horizontal="center"/>
    </xf>
    <xf numFmtId="179" fontId="54" fillId="0" borderId="1" xfId="1" applyNumberFormat="1" applyFont="1" applyBorder="1" applyAlignment="1">
      <alignment horizontal="center"/>
    </xf>
    <xf numFmtId="38" fontId="8" fillId="0" borderId="0" xfId="1" applyNumberFormat="1" applyFont="1" applyAlignment="1"/>
    <xf numFmtId="180" fontId="53" fillId="0" borderId="0" xfId="1" applyNumberFormat="1" applyFont="1" applyAlignment="1"/>
    <xf numFmtId="0" fontId="2" fillId="4" borderId="0" xfId="0" applyFont="1" applyFill="1" applyAlignment="1">
      <alignment horizontal="center"/>
    </xf>
    <xf numFmtId="0" fontId="3" fillId="0" borderId="0" xfId="0" applyFont="1">
      <alignment vertical="center"/>
    </xf>
    <xf numFmtId="179" fontId="37" fillId="0" borderId="17" xfId="1" applyNumberFormat="1" applyFont="1" applyBorder="1" applyAlignment="1"/>
    <xf numFmtId="179" fontId="38" fillId="4" borderId="11" xfId="1" applyNumberFormat="1" applyFont="1" applyFill="1" applyBorder="1" applyAlignment="1"/>
    <xf numFmtId="182" fontId="37" fillId="0" borderId="17" xfId="2" applyNumberFormat="1" applyFont="1" applyBorder="1" applyAlignment="1"/>
    <xf numFmtId="183" fontId="42" fillId="0" borderId="1" xfId="0" applyNumberFormat="1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179" fontId="26" fillId="0" borderId="1" xfId="1" applyNumberFormat="1" applyFont="1" applyBorder="1" applyAlignment="1">
      <alignment horizontal="center" vertical="center"/>
    </xf>
    <xf numFmtId="180" fontId="26" fillId="0" borderId="1" xfId="1" applyNumberFormat="1" applyFont="1" applyBorder="1" applyAlignment="1">
      <alignment horizontal="center"/>
    </xf>
    <xf numFmtId="179" fontId="26" fillId="0" borderId="1" xfId="1" applyNumberFormat="1" applyFont="1" applyBorder="1" applyAlignment="1">
      <alignment horizontal="center"/>
    </xf>
    <xf numFmtId="180" fontId="48" fillId="0" borderId="1" xfId="1" applyNumberFormat="1" applyFont="1" applyBorder="1" applyAlignment="1">
      <alignment horizontal="center"/>
    </xf>
    <xf numFmtId="179" fontId="48" fillId="0" borderId="1" xfId="1" applyNumberFormat="1" applyFont="1" applyBorder="1" applyAlignment="1">
      <alignment horizontal="center"/>
    </xf>
    <xf numFmtId="38" fontId="22" fillId="9" borderId="8" xfId="0" applyNumberFormat="1" applyFont="1" applyFill="1" applyBorder="1" applyAlignment="1">
      <alignment horizontal="center" vertical="center"/>
    </xf>
    <xf numFmtId="38" fontId="22" fillId="9" borderId="1" xfId="1" applyNumberFormat="1" applyFont="1" applyFill="1" applyBorder="1" applyAlignment="1">
      <alignment horizontal="center" vertical="center"/>
    </xf>
    <xf numFmtId="180" fontId="43" fillId="0" borderId="0" xfId="0" applyNumberFormat="1" applyFont="1" applyAlignment="1"/>
    <xf numFmtId="182" fontId="0" fillId="0" borderId="0" xfId="2" applyNumberFormat="1" applyFont="1">
      <alignment vertical="center"/>
    </xf>
    <xf numFmtId="177" fontId="0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177" fontId="7" fillId="0" borderId="1" xfId="1" applyFont="1" applyBorder="1" applyAlignment="1">
      <alignment horizontal="center" vertical="center"/>
    </xf>
    <xf numFmtId="182" fontId="7" fillId="0" borderId="1" xfId="2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177" fontId="7" fillId="0" borderId="0" xfId="1" applyFont="1" applyAlignment="1">
      <alignment horizontal="center" vertical="center"/>
    </xf>
    <xf numFmtId="182" fontId="7" fillId="0" borderId="0" xfId="2" applyNumberFormat="1" applyFont="1">
      <alignment vertical="center"/>
    </xf>
    <xf numFmtId="0" fontId="7" fillId="0" borderId="10" xfId="0" applyFont="1" applyBorder="1" applyAlignment="1">
      <alignment horizontal="center" vertical="center"/>
    </xf>
    <xf numFmtId="177" fontId="7" fillId="0" borderId="10" xfId="1" applyFont="1" applyBorder="1" applyAlignment="1">
      <alignment horizontal="center" vertical="center"/>
    </xf>
    <xf numFmtId="182" fontId="7" fillId="0" borderId="10" xfId="2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177" fontId="6" fillId="0" borderId="11" xfId="1" applyFont="1" applyBorder="1" applyAlignment="1">
      <alignment horizontal="center" vertical="center"/>
    </xf>
    <xf numFmtId="182" fontId="6" fillId="0" borderId="11" xfId="2" applyNumberFormat="1" applyFont="1" applyBorder="1" applyAlignment="1">
      <alignment horizontal="center" vertical="center"/>
    </xf>
    <xf numFmtId="180" fontId="22" fillId="0" borderId="23" xfId="1" applyNumberFormat="1" applyFont="1" applyBorder="1" applyAlignment="1">
      <alignment horizontal="center"/>
    </xf>
    <xf numFmtId="179" fontId="22" fillId="0" borderId="23" xfId="1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79" fontId="22" fillId="0" borderId="1" xfId="1" applyNumberFormat="1" applyFont="1" applyBorder="1" applyAlignment="1">
      <alignment horizontal="center" vertical="center"/>
    </xf>
    <xf numFmtId="180" fontId="41" fillId="0" borderId="23" xfId="1" applyNumberFormat="1" applyFont="1" applyBorder="1" applyAlignment="1">
      <alignment horizontal="center"/>
    </xf>
    <xf numFmtId="179" fontId="41" fillId="0" borderId="23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7" fontId="0" fillId="0" borderId="0" xfId="1" applyFont="1">
      <alignment vertical="center"/>
    </xf>
    <xf numFmtId="177" fontId="7" fillId="0" borderId="0" xfId="1" applyFont="1">
      <alignment vertical="center"/>
    </xf>
    <xf numFmtId="0" fontId="28" fillId="0" borderId="0" xfId="0" applyFont="1">
      <alignment vertical="center"/>
    </xf>
    <xf numFmtId="182" fontId="16" fillId="0" borderId="11" xfId="2" applyNumberFormat="1" applyFont="1" applyBorder="1" applyAlignment="1">
      <alignment horizontal="center" vertical="center"/>
    </xf>
    <xf numFmtId="182" fontId="29" fillId="0" borderId="10" xfId="2" applyNumberFormat="1" applyFont="1" applyBorder="1">
      <alignment vertical="center"/>
    </xf>
    <xf numFmtId="182" fontId="29" fillId="0" borderId="1" xfId="2" applyNumberFormat="1" applyFont="1" applyBorder="1">
      <alignment vertical="center"/>
    </xf>
    <xf numFmtId="182" fontId="29" fillId="0" borderId="0" xfId="2" applyNumberFormat="1" applyFont="1">
      <alignment vertical="center"/>
    </xf>
    <xf numFmtId="182" fontId="5" fillId="0" borderId="0" xfId="2" applyNumberFormat="1" applyFont="1">
      <alignment vertical="center"/>
    </xf>
    <xf numFmtId="0" fontId="7" fillId="0" borderId="1" xfId="0" applyFont="1" applyBorder="1">
      <alignment vertical="center"/>
    </xf>
    <xf numFmtId="177" fontId="6" fillId="0" borderId="1" xfId="1" applyFont="1" applyBorder="1">
      <alignment vertical="center"/>
    </xf>
    <xf numFmtId="177" fontId="7" fillId="0" borderId="1" xfId="1" applyFont="1" applyBorder="1">
      <alignment vertical="center"/>
    </xf>
    <xf numFmtId="0" fontId="48" fillId="0" borderId="1" xfId="0" applyFont="1" applyBorder="1" applyAlignment="1">
      <alignment horizontal="center" vertical="center"/>
    </xf>
    <xf numFmtId="179" fontId="48" fillId="0" borderId="1" xfId="1" applyNumberFormat="1" applyFont="1" applyBorder="1" applyAlignment="1">
      <alignment horizontal="center" vertical="center"/>
    </xf>
    <xf numFmtId="183" fontId="22" fillId="0" borderId="0" xfId="0" applyNumberFormat="1" applyFont="1" applyAlignment="1">
      <alignment horizontal="center" vertical="center"/>
    </xf>
    <xf numFmtId="38" fontId="31" fillId="0" borderId="1" xfId="0" applyNumberFormat="1" applyFont="1" applyBorder="1" applyAlignment="1">
      <alignment horizontal="center" vertical="center"/>
    </xf>
    <xf numFmtId="38" fontId="31" fillId="0" borderId="0" xfId="0" applyNumberFormat="1" applyFont="1">
      <alignment vertical="center"/>
    </xf>
    <xf numFmtId="38" fontId="55" fillId="0" borderId="1" xfId="0" applyNumberFormat="1" applyFont="1" applyBorder="1" applyAlignment="1">
      <alignment horizontal="center" vertical="center"/>
    </xf>
    <xf numFmtId="38" fontId="55" fillId="0" borderId="0" xfId="0" applyNumberFormat="1" applyFont="1">
      <alignment vertical="center"/>
    </xf>
    <xf numFmtId="0" fontId="56" fillId="0" borderId="1" xfId="0" applyFont="1" applyBorder="1" applyAlignment="1">
      <alignment horizontal="center" vertical="center"/>
    </xf>
    <xf numFmtId="179" fontId="56" fillId="0" borderId="1" xfId="1" applyNumberFormat="1" applyFont="1" applyBorder="1" applyAlignment="1">
      <alignment horizontal="center" vertical="center"/>
    </xf>
    <xf numFmtId="38" fontId="45" fillId="6" borderId="0" xfId="0" applyNumberFormat="1" applyFont="1" applyFill="1">
      <alignment vertical="center"/>
    </xf>
    <xf numFmtId="178" fontId="37" fillId="0" borderId="17" xfId="0" applyNumberFormat="1" applyFont="1" applyBorder="1" applyAlignment="1"/>
    <xf numFmtId="178" fontId="38" fillId="0" borderId="17" xfId="0" applyNumberFormat="1" applyFont="1" applyBorder="1" applyAlignment="1"/>
    <xf numFmtId="176" fontId="34" fillId="0" borderId="17" xfId="1" applyNumberFormat="1" applyFont="1" applyBorder="1" applyAlignment="1"/>
    <xf numFmtId="177" fontId="57" fillId="0" borderId="1" xfId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77" fontId="7" fillId="7" borderId="1" xfId="1" applyFont="1" applyFill="1" applyBorder="1" applyAlignment="1">
      <alignment horizontal="center" vertical="center"/>
    </xf>
    <xf numFmtId="182" fontId="7" fillId="7" borderId="1" xfId="2" applyNumberFormat="1" applyFont="1" applyFill="1" applyBorder="1">
      <alignment vertical="center"/>
    </xf>
    <xf numFmtId="182" fontId="29" fillId="7" borderId="1" xfId="2" applyNumberFormat="1" applyFont="1" applyFill="1" applyBorder="1">
      <alignment vertical="center"/>
    </xf>
    <xf numFmtId="177" fontId="7" fillId="7" borderId="1" xfId="1" applyFont="1" applyFill="1" applyBorder="1">
      <alignment vertical="center"/>
    </xf>
    <xf numFmtId="0" fontId="7" fillId="0" borderId="23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177" fontId="7" fillId="0" borderId="23" xfId="1" applyFont="1" applyBorder="1" applyAlignment="1">
      <alignment horizontal="center" vertical="center"/>
    </xf>
    <xf numFmtId="182" fontId="7" fillId="0" borderId="23" xfId="2" applyNumberFormat="1" applyFont="1" applyBorder="1">
      <alignment vertical="center"/>
    </xf>
    <xf numFmtId="182" fontId="29" fillId="0" borderId="23" xfId="2" applyNumberFormat="1" applyFont="1" applyBorder="1">
      <alignment vertical="center"/>
    </xf>
    <xf numFmtId="177" fontId="7" fillId="0" borderId="23" xfId="1" applyFont="1" applyBorder="1">
      <alignment vertical="center"/>
    </xf>
    <xf numFmtId="0" fontId="7" fillId="0" borderId="26" xfId="0" applyFont="1" applyBorder="1">
      <alignment vertical="center"/>
    </xf>
    <xf numFmtId="0" fontId="27" fillId="0" borderId="27" xfId="0" applyFont="1" applyBorder="1" applyAlignment="1">
      <alignment horizontal="left" vertical="center"/>
    </xf>
    <xf numFmtId="0" fontId="28" fillId="0" borderId="28" xfId="0" applyFont="1" applyBorder="1">
      <alignment vertical="center"/>
    </xf>
    <xf numFmtId="182" fontId="28" fillId="0" borderId="28" xfId="2" applyNumberFormat="1" applyFont="1" applyBorder="1">
      <alignment vertical="center"/>
    </xf>
    <xf numFmtId="182" fontId="30" fillId="0" borderId="28" xfId="2" applyNumberFormat="1" applyFont="1" applyBorder="1">
      <alignment vertical="center"/>
    </xf>
    <xf numFmtId="177" fontId="28" fillId="0" borderId="29" xfId="1" applyFont="1" applyBorder="1">
      <alignment vertical="center"/>
    </xf>
    <xf numFmtId="0" fontId="7" fillId="0" borderId="30" xfId="0" applyFont="1" applyBorder="1">
      <alignment vertical="center"/>
    </xf>
    <xf numFmtId="0" fontId="27" fillId="0" borderId="25" xfId="0" applyFont="1" applyBorder="1" applyAlignment="1">
      <alignment horizontal="left" vertical="center"/>
    </xf>
    <xf numFmtId="0" fontId="28" fillId="0" borderId="16" xfId="0" applyFont="1" applyBorder="1">
      <alignment vertical="center"/>
    </xf>
    <xf numFmtId="182" fontId="28" fillId="0" borderId="16" xfId="2" applyNumberFormat="1" applyFont="1" applyBorder="1">
      <alignment vertical="center"/>
    </xf>
    <xf numFmtId="182" fontId="30" fillId="0" borderId="16" xfId="2" applyNumberFormat="1" applyFont="1" applyBorder="1">
      <alignment vertical="center"/>
    </xf>
    <xf numFmtId="177" fontId="28" fillId="0" borderId="31" xfId="1" applyFont="1" applyBorder="1">
      <alignment vertical="center"/>
    </xf>
    <xf numFmtId="0" fontId="7" fillId="0" borderId="10" xfId="0" applyFont="1" applyBorder="1">
      <alignment vertical="center"/>
    </xf>
    <xf numFmtId="177" fontId="7" fillId="0" borderId="10" xfId="1" applyFont="1" applyBorder="1">
      <alignment vertical="center"/>
    </xf>
    <xf numFmtId="0" fontId="0" fillId="5" borderId="1" xfId="0" applyFill="1" applyBorder="1" applyAlignment="1">
      <alignment horizontal="center"/>
    </xf>
    <xf numFmtId="177" fontId="58" fillId="7" borderId="1" xfId="1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179" fontId="48" fillId="4" borderId="1" xfId="1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38" fontId="22" fillId="0" borderId="1" xfId="0" applyNumberFormat="1" applyFont="1" applyBorder="1">
      <alignment vertical="center"/>
    </xf>
    <xf numFmtId="38" fontId="31" fillId="0" borderId="1" xfId="0" applyNumberFormat="1" applyFont="1" applyBorder="1">
      <alignment vertical="center"/>
    </xf>
    <xf numFmtId="38" fontId="46" fillId="0" borderId="1" xfId="0" applyNumberFormat="1" applyFont="1" applyBorder="1">
      <alignment vertical="center"/>
    </xf>
    <xf numFmtId="38" fontId="55" fillId="0" borderId="1" xfId="0" applyNumberFormat="1" applyFont="1" applyBorder="1">
      <alignment vertical="center"/>
    </xf>
    <xf numFmtId="38" fontId="45" fillId="6" borderId="1" xfId="0" applyNumberFormat="1" applyFont="1" applyFill="1" applyBorder="1">
      <alignment vertical="center"/>
    </xf>
    <xf numFmtId="177" fontId="46" fillId="0" borderId="1" xfId="1" applyFont="1" applyBorder="1">
      <alignment vertical="center"/>
    </xf>
    <xf numFmtId="0" fontId="59" fillId="0" borderId="1" xfId="0" applyFont="1" applyBorder="1" applyAlignment="1">
      <alignment horizontal="center" vertical="center"/>
    </xf>
    <xf numFmtId="179" fontId="59" fillId="0" borderId="1" xfId="1" applyNumberFormat="1" applyFont="1" applyBorder="1" applyAlignment="1">
      <alignment horizontal="center" vertical="center"/>
    </xf>
    <xf numFmtId="0" fontId="4" fillId="0" borderId="20" xfId="0" applyFont="1" applyBorder="1" applyAlignment="1"/>
    <xf numFmtId="38" fontId="33" fillId="0" borderId="20" xfId="0" applyNumberFormat="1" applyFont="1" applyBorder="1" applyAlignment="1"/>
    <xf numFmtId="0" fontId="35" fillId="0" borderId="0" xfId="0" applyFont="1" applyAlignment="1"/>
    <xf numFmtId="0" fontId="60" fillId="0" borderId="1" xfId="0" applyFont="1" applyBorder="1" applyAlignment="1">
      <alignment horizontal="center" vertical="center"/>
    </xf>
    <xf numFmtId="180" fontId="61" fillId="0" borderId="11" xfId="1" applyNumberFormat="1" applyFont="1" applyBorder="1" applyAlignment="1">
      <alignment horizontal="center" vertical="center"/>
    </xf>
    <xf numFmtId="180" fontId="62" fillId="0" borderId="10" xfId="1" applyNumberFormat="1" applyFont="1" applyBorder="1" applyAlignment="1">
      <alignment horizontal="center" vertical="center"/>
    </xf>
    <xf numFmtId="180" fontId="62" fillId="0" borderId="1" xfId="1" applyNumberFormat="1" applyFont="1" applyBorder="1" applyAlignment="1">
      <alignment horizontal="center" vertical="center"/>
    </xf>
    <xf numFmtId="180" fontId="62" fillId="7" borderId="1" xfId="1" applyNumberFormat="1" applyFont="1" applyFill="1" applyBorder="1" applyAlignment="1">
      <alignment horizontal="center" vertical="center"/>
    </xf>
    <xf numFmtId="180" fontId="62" fillId="0" borderId="23" xfId="1" applyNumberFormat="1" applyFont="1" applyBorder="1" applyAlignment="1">
      <alignment horizontal="center" vertical="center"/>
    </xf>
    <xf numFmtId="180" fontId="63" fillId="0" borderId="28" xfId="1" applyNumberFormat="1" applyFont="1" applyBorder="1" applyAlignment="1">
      <alignment horizontal="center" vertical="center"/>
    </xf>
    <xf numFmtId="180" fontId="63" fillId="0" borderId="16" xfId="1" applyNumberFormat="1" applyFont="1" applyBorder="1" applyAlignment="1">
      <alignment horizontal="center" vertical="center"/>
    </xf>
    <xf numFmtId="0" fontId="62" fillId="0" borderId="0" xfId="0" applyFont="1">
      <alignment vertical="center"/>
    </xf>
    <xf numFmtId="0" fontId="63" fillId="0" borderId="0" xfId="0" applyFont="1">
      <alignment vertical="center"/>
    </xf>
    <xf numFmtId="0" fontId="34" fillId="0" borderId="0" xfId="0" applyFont="1">
      <alignment vertical="center"/>
    </xf>
    <xf numFmtId="180" fontId="62" fillId="0" borderId="0" xfId="1" applyNumberFormat="1" applyFont="1" applyAlignment="1">
      <alignment horizontal="center" vertical="center"/>
    </xf>
    <xf numFmtId="180" fontId="34" fillId="0" borderId="0" xfId="1" applyNumberFormat="1" applyFont="1" applyAlignment="1">
      <alignment horizontal="center" vertical="center"/>
    </xf>
    <xf numFmtId="177" fontId="64" fillId="0" borderId="11" xfId="1" applyFont="1" applyBorder="1" applyAlignment="1">
      <alignment horizontal="center" vertical="center"/>
    </xf>
    <xf numFmtId="177" fontId="58" fillId="0" borderId="1" xfId="1" applyFont="1" applyBorder="1" applyAlignment="1">
      <alignment horizontal="center" vertical="center"/>
    </xf>
    <xf numFmtId="177" fontId="58" fillId="0" borderId="23" xfId="1" applyFont="1" applyBorder="1" applyAlignment="1">
      <alignment horizontal="center" vertical="center"/>
    </xf>
    <xf numFmtId="0" fontId="58" fillId="0" borderId="0" xfId="0" applyFont="1">
      <alignment vertical="center"/>
    </xf>
    <xf numFmtId="0" fontId="65" fillId="0" borderId="0" xfId="0" applyFont="1">
      <alignment vertical="center"/>
    </xf>
    <xf numFmtId="177" fontId="58" fillId="0" borderId="0" xfId="1" applyFont="1" applyAlignment="1">
      <alignment horizontal="center" vertical="center"/>
    </xf>
    <xf numFmtId="177" fontId="38" fillId="0" borderId="0" xfId="1" applyFont="1" applyAlignment="1">
      <alignment horizontal="center" vertical="center"/>
    </xf>
    <xf numFmtId="182" fontId="29" fillId="0" borderId="25" xfId="2" applyNumberFormat="1" applyFont="1" applyBorder="1">
      <alignment vertical="center"/>
    </xf>
    <xf numFmtId="177" fontId="7" fillId="0" borderId="25" xfId="1" applyFont="1" applyBorder="1">
      <alignment vertical="center"/>
    </xf>
    <xf numFmtId="0" fontId="6" fillId="0" borderId="0" xfId="0" applyFont="1" applyAlignment="1">
      <alignment horizontal="right" vertical="center"/>
    </xf>
    <xf numFmtId="38" fontId="7" fillId="0" borderId="0" xfId="0" applyNumberFormat="1" applyFont="1">
      <alignment vertical="center"/>
    </xf>
    <xf numFmtId="0" fontId="37" fillId="0" borderId="17" xfId="0" applyFont="1" applyBorder="1" applyAlignment="1"/>
    <xf numFmtId="38" fontId="6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0" fillId="0" borderId="1" xfId="0" applyFont="1" applyBorder="1" applyAlignment="1">
      <alignment horizontal="center" vertical="center"/>
    </xf>
    <xf numFmtId="179" fontId="70" fillId="0" borderId="1" xfId="1" applyNumberFormat="1" applyFont="1" applyBorder="1" applyAlignment="1">
      <alignment horizontal="center" vertical="center"/>
    </xf>
    <xf numFmtId="38" fontId="42" fillId="4" borderId="1" xfId="0" applyNumberFormat="1" applyFont="1" applyFill="1" applyBorder="1" applyAlignment="1">
      <alignment horizontal="center" vertical="center"/>
    </xf>
    <xf numFmtId="38" fontId="35" fillId="4" borderId="1" xfId="0" applyNumberFormat="1" applyFont="1" applyFill="1" applyBorder="1" applyAlignment="1">
      <alignment horizontal="center" vertical="center"/>
    </xf>
    <xf numFmtId="183" fontId="22" fillId="0" borderId="10" xfId="0" applyNumberFormat="1" applyFont="1" applyBorder="1">
      <alignment vertical="center"/>
    </xf>
    <xf numFmtId="183" fontId="22" fillId="0" borderId="10" xfId="0" applyNumberFormat="1" applyFont="1" applyBorder="1" applyAlignment="1">
      <alignment horizontal="center" vertical="center"/>
    </xf>
    <xf numFmtId="38" fontId="50" fillId="0" borderId="10" xfId="1" applyNumberFormat="1" applyFont="1" applyBorder="1" applyAlignment="1">
      <alignment horizontal="center" vertical="center"/>
    </xf>
    <xf numFmtId="38" fontId="50" fillId="4" borderId="10" xfId="3" applyNumberFormat="1" applyFont="1" applyFill="1" applyBorder="1" applyAlignment="1">
      <alignment horizontal="center" vertical="center"/>
    </xf>
    <xf numFmtId="38" fontId="51" fillId="4" borderId="10" xfId="3" applyNumberFormat="1" applyFont="1" applyFill="1" applyBorder="1" applyAlignment="1">
      <alignment horizontal="center" vertical="center"/>
    </xf>
    <xf numFmtId="38" fontId="50" fillId="4" borderId="10" xfId="0" applyNumberFormat="1" applyFont="1" applyFill="1" applyBorder="1" applyAlignment="1">
      <alignment horizontal="center" vertical="center"/>
    </xf>
    <xf numFmtId="180" fontId="41" fillId="0" borderId="10" xfId="1" applyNumberFormat="1" applyFont="1" applyBorder="1" applyAlignment="1">
      <alignment horizontal="center"/>
    </xf>
    <xf numFmtId="180" fontId="41" fillId="0" borderId="10" xfId="1" applyNumberFormat="1" applyFont="1" applyBorder="1" applyAlignment="1">
      <alignment horizontal="center" vertical="center"/>
    </xf>
    <xf numFmtId="179" fontId="41" fillId="0" borderId="10" xfId="1" applyNumberFormat="1" applyFont="1" applyBorder="1" applyAlignment="1">
      <alignment horizontal="center" vertical="center"/>
    </xf>
    <xf numFmtId="184" fontId="48" fillId="0" borderId="10" xfId="1" applyNumberFormat="1" applyFont="1" applyBorder="1" applyAlignment="1"/>
    <xf numFmtId="20" fontId="22" fillId="3" borderId="1" xfId="0" applyNumberFormat="1" applyFont="1" applyFill="1" applyBorder="1">
      <alignment vertical="center"/>
    </xf>
    <xf numFmtId="20" fontId="42" fillId="3" borderId="1" xfId="0" applyNumberFormat="1" applyFont="1" applyFill="1" applyBorder="1">
      <alignment vertical="center"/>
    </xf>
    <xf numFmtId="20" fontId="73" fillId="3" borderId="1" xfId="0" applyNumberFormat="1" applyFont="1" applyFill="1" applyBorder="1">
      <alignment vertical="center"/>
    </xf>
    <xf numFmtId="0" fontId="71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distributed"/>
    </xf>
    <xf numFmtId="0" fontId="71" fillId="3" borderId="1" xfId="0" applyFont="1" applyFill="1" applyBorder="1" applyAlignment="1">
      <alignment horizontal="center" vertical="center"/>
    </xf>
    <xf numFmtId="0" fontId="72" fillId="3" borderId="1" xfId="0" applyFont="1" applyFill="1" applyBorder="1" applyAlignment="1">
      <alignment horizontal="center" vertical="center"/>
    </xf>
    <xf numFmtId="20" fontId="74" fillId="3" borderId="1" xfId="0" applyNumberFormat="1" applyFont="1" applyFill="1" applyBorder="1">
      <alignment vertical="center"/>
    </xf>
    <xf numFmtId="0" fontId="75" fillId="0" borderId="0" xfId="0" applyFont="1" applyAlignment="1">
      <alignment horizontal="center" vertical="center"/>
    </xf>
    <xf numFmtId="179" fontId="75" fillId="0" borderId="0" xfId="1" applyNumberFormat="1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180" fontId="75" fillId="0" borderId="11" xfId="1" applyNumberFormat="1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179" fontId="77" fillId="0" borderId="1" xfId="1" applyNumberFormat="1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179" fontId="78" fillId="0" borderId="1" xfId="1" applyNumberFormat="1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179" fontId="79" fillId="0" borderId="1" xfId="1" applyNumberFormat="1" applyFont="1" applyBorder="1" applyAlignment="1">
      <alignment horizontal="center" vertical="center"/>
    </xf>
    <xf numFmtId="179" fontId="75" fillId="0" borderId="0" xfId="1" applyNumberFormat="1" applyFont="1" applyAlignment="1">
      <alignment horizontal="center" vertical="center"/>
    </xf>
    <xf numFmtId="20" fontId="73" fillId="3" borderId="1" xfId="0" applyNumberFormat="1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distributed"/>
    </xf>
    <xf numFmtId="20" fontId="80" fillId="3" borderId="1" xfId="0" applyNumberFormat="1" applyFont="1" applyFill="1" applyBorder="1">
      <alignment vertical="center"/>
    </xf>
    <xf numFmtId="182" fontId="81" fillId="0" borderId="17" xfId="2" applyNumberFormat="1" applyFont="1" applyBorder="1" applyAlignment="1"/>
    <xf numFmtId="182" fontId="37" fillId="4" borderId="11" xfId="2" applyNumberFormat="1" applyFont="1" applyFill="1" applyBorder="1" applyAlignment="1"/>
    <xf numFmtId="179" fontId="76" fillId="0" borderId="1" xfId="1" applyNumberFormat="1" applyFont="1" applyBorder="1" applyAlignment="1">
      <alignment horizontal="center" vertical="center"/>
    </xf>
    <xf numFmtId="0" fontId="70" fillId="5" borderId="1" xfId="0" applyFont="1" applyFill="1" applyBorder="1" applyAlignment="1">
      <alignment horizontal="center" vertical="center"/>
    </xf>
    <xf numFmtId="0" fontId="22" fillId="3" borderId="1" xfId="0" applyFont="1" applyFill="1" applyBorder="1">
      <alignment vertical="center"/>
    </xf>
    <xf numFmtId="179" fontId="70" fillId="5" borderId="1" xfId="1" applyNumberFormat="1" applyFont="1" applyFill="1" applyBorder="1" applyAlignment="1">
      <alignment horizontal="center" vertical="center"/>
    </xf>
    <xf numFmtId="183" fontId="84" fillId="4" borderId="1" xfId="0" applyNumberFormat="1" applyFont="1" applyFill="1" applyBorder="1" applyAlignment="1">
      <alignment horizontal="center" vertical="center"/>
    </xf>
    <xf numFmtId="183" fontId="83" fillId="4" borderId="1" xfId="0" applyNumberFormat="1" applyFont="1" applyFill="1" applyBorder="1" applyAlignment="1">
      <alignment horizontal="center" vertical="center"/>
    </xf>
    <xf numFmtId="183" fontId="85" fillId="4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>
      <alignment vertical="center"/>
    </xf>
    <xf numFmtId="183" fontId="86" fillId="4" borderId="1" xfId="0" applyNumberFormat="1" applyFont="1" applyFill="1" applyBorder="1" applyAlignment="1">
      <alignment horizontal="center" vertical="center"/>
    </xf>
    <xf numFmtId="183" fontId="87" fillId="4" borderId="1" xfId="0" applyNumberFormat="1" applyFont="1" applyFill="1" applyBorder="1" applyAlignment="1">
      <alignment horizontal="center" vertical="center"/>
    </xf>
    <xf numFmtId="183" fontId="88" fillId="4" borderId="1" xfId="0" applyNumberFormat="1" applyFont="1" applyFill="1" applyBorder="1" applyAlignment="1">
      <alignment horizontal="center" vertical="center"/>
    </xf>
    <xf numFmtId="0" fontId="89" fillId="3" borderId="1" xfId="0" applyFont="1" applyFill="1" applyBorder="1">
      <alignment vertical="center"/>
    </xf>
    <xf numFmtId="38" fontId="22" fillId="7" borderId="8" xfId="0" applyNumberFormat="1" applyFont="1" applyFill="1" applyBorder="1" applyAlignment="1">
      <alignment horizontal="right" vertical="center"/>
    </xf>
    <xf numFmtId="38" fontId="22" fillId="2" borderId="11" xfId="3" applyNumberFormat="1" applyFont="1" applyBorder="1" applyAlignment="1">
      <alignment horizontal="right" vertical="center"/>
    </xf>
    <xf numFmtId="0" fontId="90" fillId="0" borderId="1" xfId="0" applyFont="1" applyBorder="1" applyAlignment="1">
      <alignment horizontal="center" vertical="center"/>
    </xf>
    <xf numFmtId="179" fontId="90" fillId="0" borderId="1" xfId="1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0" fontId="91" fillId="3" borderId="1" xfId="0" applyFont="1" applyFill="1" applyBorder="1">
      <alignment vertical="center"/>
    </xf>
    <xf numFmtId="0" fontId="90" fillId="0" borderId="0" xfId="0" applyFont="1" applyAlignment="1">
      <alignment horizontal="center" vertical="center"/>
    </xf>
    <xf numFmtId="0" fontId="90" fillId="4" borderId="1" xfId="0" applyFont="1" applyFill="1" applyBorder="1" applyAlignment="1">
      <alignment horizontal="center" vertical="center"/>
    </xf>
    <xf numFmtId="179" fontId="90" fillId="4" borderId="1" xfId="1" applyNumberFormat="1" applyFont="1" applyFill="1" applyBorder="1" applyAlignment="1">
      <alignment horizontal="center" vertical="center"/>
    </xf>
    <xf numFmtId="38" fontId="92" fillId="0" borderId="1" xfId="1" applyNumberFormat="1" applyFont="1" applyBorder="1" applyAlignment="1">
      <alignment horizontal="center" vertical="center"/>
    </xf>
    <xf numFmtId="38" fontId="93" fillId="4" borderId="1" xfId="0" applyNumberFormat="1" applyFont="1" applyFill="1" applyBorder="1" applyAlignment="1">
      <alignment horizontal="center" vertical="center"/>
    </xf>
    <xf numFmtId="38" fontId="92" fillId="0" borderId="1" xfId="0" applyNumberFormat="1" applyFont="1" applyBorder="1" applyAlignment="1">
      <alignment horizontal="center" vertical="center"/>
    </xf>
    <xf numFmtId="38" fontId="94" fillId="0" borderId="1" xfId="0" applyNumberFormat="1" applyFont="1" applyBorder="1" applyAlignment="1">
      <alignment horizontal="center" vertical="center"/>
    </xf>
    <xf numFmtId="38" fontId="95" fillId="0" borderId="1" xfId="1" applyNumberFormat="1" applyFont="1" applyBorder="1" applyAlignment="1">
      <alignment horizontal="center" vertical="center"/>
    </xf>
    <xf numFmtId="38" fontId="96" fillId="4" borderId="1" xfId="0" applyNumberFormat="1" applyFont="1" applyFill="1" applyBorder="1" applyAlignment="1">
      <alignment horizontal="center" vertical="center"/>
    </xf>
    <xf numFmtId="38" fontId="95" fillId="0" borderId="1" xfId="0" applyNumberFormat="1" applyFont="1" applyBorder="1" applyAlignment="1">
      <alignment horizontal="center" vertical="center"/>
    </xf>
    <xf numFmtId="38" fontId="97" fillId="0" borderId="1" xfId="0" applyNumberFormat="1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76" fillId="0" borderId="7" xfId="0" applyFont="1" applyBorder="1" applyAlignment="1">
      <alignment horizontal="center" vertical="center"/>
    </xf>
    <xf numFmtId="0" fontId="75" fillId="0" borderId="9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183" fontId="3" fillId="2" borderId="11" xfId="3" applyNumberFormat="1" applyFont="1" applyBorder="1" applyAlignment="1">
      <alignment horizontal="center" vertical="center"/>
    </xf>
    <xf numFmtId="183" fontId="21" fillId="0" borderId="7" xfId="0" applyNumberFormat="1" applyFont="1" applyBorder="1" applyAlignment="1">
      <alignment horizontal="center" vertical="center"/>
    </xf>
    <xf numFmtId="183" fontId="21" fillId="0" borderId="8" xfId="0" applyNumberFormat="1" applyFont="1" applyBorder="1" applyAlignment="1">
      <alignment horizontal="center" vertical="center"/>
    </xf>
    <xf numFmtId="38" fontId="21" fillId="0" borderId="7" xfId="0" applyNumberFormat="1" applyFont="1" applyBorder="1" applyAlignment="1">
      <alignment horizontal="center" vertical="center"/>
    </xf>
    <xf numFmtId="38" fontId="21" fillId="0" borderId="9" xfId="0" applyNumberFormat="1" applyFont="1" applyBorder="1" applyAlignment="1">
      <alignment horizontal="center" vertical="center"/>
    </xf>
    <xf numFmtId="38" fontId="21" fillId="0" borderId="8" xfId="0" applyNumberFormat="1" applyFont="1" applyBorder="1" applyAlignment="1">
      <alignment horizontal="center" vertical="center"/>
    </xf>
    <xf numFmtId="38" fontId="31" fillId="0" borderId="23" xfId="0" applyNumberFormat="1" applyFont="1" applyBorder="1" applyAlignment="1">
      <alignment horizontal="center" vertical="center"/>
    </xf>
    <xf numFmtId="38" fontId="31" fillId="0" borderId="10" xfId="0" applyNumberFormat="1" applyFont="1" applyBorder="1" applyAlignment="1">
      <alignment horizontal="center" vertical="center"/>
    </xf>
    <xf numFmtId="38" fontId="55" fillId="4" borderId="23" xfId="0" applyNumberFormat="1" applyFont="1" applyFill="1" applyBorder="1" applyAlignment="1">
      <alignment horizontal="center" vertical="center"/>
    </xf>
    <xf numFmtId="38" fontId="55" fillId="4" borderId="10" xfId="0" applyNumberFormat="1" applyFont="1" applyFill="1" applyBorder="1" applyAlignment="1">
      <alignment horizontal="center" vertical="center"/>
    </xf>
    <xf numFmtId="38" fontId="66" fillId="6" borderId="23" xfId="0" applyNumberFormat="1" applyFont="1" applyFill="1" applyBorder="1" applyAlignment="1">
      <alignment horizontal="justify" vertical="center"/>
    </xf>
    <xf numFmtId="38" fontId="67" fillId="6" borderId="10" xfId="0" applyNumberFormat="1" applyFont="1" applyFill="1" applyBorder="1" applyAlignment="1">
      <alignment horizontal="justify" vertical="center"/>
    </xf>
    <xf numFmtId="183" fontId="4" fillId="7" borderId="7" xfId="0" applyNumberFormat="1" applyFont="1" applyFill="1" applyBorder="1" applyAlignment="1">
      <alignment horizontal="center" vertical="center"/>
    </xf>
    <xf numFmtId="183" fontId="21" fillId="7" borderId="8" xfId="0" applyNumberFormat="1" applyFont="1" applyFill="1" applyBorder="1" applyAlignment="1">
      <alignment horizontal="center" vertical="center"/>
    </xf>
    <xf numFmtId="38" fontId="35" fillId="4" borderId="1" xfId="0" applyNumberFormat="1" applyFont="1" applyFill="1" applyBorder="1" applyAlignment="1">
      <alignment horizontal="center" vertical="center"/>
    </xf>
    <xf numFmtId="38" fontId="46" fillId="4" borderId="1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distributed"/>
    </xf>
    <xf numFmtId="0" fontId="22" fillId="3" borderId="14" xfId="0" applyFont="1" applyFill="1" applyBorder="1" applyAlignment="1">
      <alignment horizontal="center" vertical="distributed"/>
    </xf>
    <xf numFmtId="0" fontId="3" fillId="3" borderId="4" xfId="0" applyFont="1" applyFill="1" applyBorder="1" applyAlignment="1">
      <alignment horizontal="center" vertical="distributed"/>
    </xf>
    <xf numFmtId="0" fontId="22" fillId="3" borderId="6" xfId="0" applyFont="1" applyFill="1" applyBorder="1" applyAlignment="1">
      <alignment horizontal="center" vertical="distributed"/>
    </xf>
    <xf numFmtId="0" fontId="66" fillId="4" borderId="12" xfId="0" applyFont="1" applyFill="1" applyBorder="1" applyAlignment="1">
      <alignment horizontal="center"/>
    </xf>
    <xf numFmtId="0" fontId="66" fillId="4" borderId="15" xfId="0" applyFont="1" applyFill="1" applyBorder="1" applyAlignment="1">
      <alignment horizontal="center"/>
    </xf>
    <xf numFmtId="0" fontId="66" fillId="4" borderId="32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68" fillId="0" borderId="0" xfId="0" applyFont="1" applyAlignment="1">
      <alignment horizontal="right"/>
    </xf>
    <xf numFmtId="0" fontId="68" fillId="0" borderId="22" xfId="0" applyFont="1" applyBorder="1" applyAlignment="1">
      <alignment horizontal="left"/>
    </xf>
    <xf numFmtId="0" fontId="52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20" fillId="3" borderId="7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69" fillId="0" borderId="4" xfId="0" applyFont="1" applyBorder="1" applyAlignment="1">
      <alignment horizontal="right"/>
    </xf>
    <xf numFmtId="0" fontId="69" fillId="0" borderId="5" xfId="0" applyFont="1" applyBorder="1" applyAlignment="1">
      <alignment horizontal="right"/>
    </xf>
    <xf numFmtId="0" fontId="69" fillId="0" borderId="6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justify"/>
    </xf>
  </cellXfs>
  <cellStyles count="4">
    <cellStyle name="一般" xfId="0" builtinId="0"/>
    <cellStyle name="千分位" xfId="1" builtinId="3"/>
    <cellStyle name="貨幣" xfId="2" builtinId="4"/>
    <cellStyle name="備註" xfId="3" builtinId="10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tabColor theme="9" tint="-0.249977111117893"/>
  </sheetPr>
  <dimension ref="A1:AE2601"/>
  <sheetViews>
    <sheetView tabSelected="1" zoomScale="145" zoomScaleNormal="145" zoomScaleSheetLayoutView="100" workbookViewId="0">
      <pane ySplit="1649" topLeftCell="A2213" activePane="bottomLeft" state="frozen"/>
      <selection activeCell="M1" sqref="M1"/>
      <selection pane="bottomLeft" activeCell="G2217" sqref="G2217"/>
    </sheetView>
  </sheetViews>
  <sheetFormatPr defaultColWidth="9" defaultRowHeight="18" customHeight="1" x14ac:dyDescent="0.2"/>
  <cols>
    <col min="1" max="1" width="7" style="155" customWidth="1"/>
    <col min="2" max="2" width="5" style="53" customWidth="1"/>
    <col min="3" max="3" width="8" style="54" customWidth="1"/>
    <col min="4" max="5" width="7" style="54" customWidth="1"/>
    <col min="6" max="6" width="6" style="54" customWidth="1"/>
    <col min="7" max="7" width="8" style="157" customWidth="1"/>
    <col min="8" max="8" width="8" style="78" customWidth="1"/>
    <col min="9" max="9" width="7" style="78" customWidth="1"/>
    <col min="10" max="10" width="8" style="159" customWidth="1"/>
    <col min="11" max="11" width="7" style="162" customWidth="1"/>
    <col min="12" max="12" width="5" style="252" customWidth="1"/>
    <col min="13" max="13" width="6" style="43" customWidth="1"/>
    <col min="14" max="18" width="7" style="257" customWidth="1"/>
    <col min="19" max="19" width="8" style="268" customWidth="1"/>
    <col min="20" max="21" width="7" style="268" customWidth="1"/>
    <col min="22" max="26" width="7" style="257" customWidth="1"/>
    <col min="27" max="27" width="8.5703125" style="43" customWidth="1"/>
    <col min="28" max="28" width="8" style="43" customWidth="1"/>
    <col min="29" max="29" width="8.85546875" style="43" customWidth="1"/>
    <col min="30" max="30" width="8.42578125" style="43" customWidth="1"/>
    <col min="31" max="31" width="7.85546875" style="43" customWidth="1"/>
    <col min="32" max="38" width="6" style="43" customWidth="1"/>
    <col min="39" max="16384" width="9" style="43"/>
  </cols>
  <sheetData>
    <row r="1" spans="1:31" ht="27" customHeight="1" x14ac:dyDescent="0.2">
      <c r="A1" s="42" t="s">
        <v>88</v>
      </c>
      <c r="B1" s="42" t="s">
        <v>89</v>
      </c>
      <c r="C1" s="310" t="s">
        <v>90</v>
      </c>
      <c r="D1" s="311"/>
      <c r="E1" s="311"/>
      <c r="F1" s="312"/>
      <c r="G1" s="313" t="s">
        <v>142</v>
      </c>
      <c r="H1" s="321" t="s">
        <v>108</v>
      </c>
      <c r="I1" s="322"/>
      <c r="J1" s="315" t="s">
        <v>143</v>
      </c>
      <c r="K1" s="317" t="s">
        <v>137</v>
      </c>
      <c r="S1" s="258"/>
      <c r="T1" s="258"/>
      <c r="U1" s="258"/>
    </row>
    <row r="2" spans="1:31" ht="18" customHeight="1" x14ac:dyDescent="0.2">
      <c r="A2" s="308" t="s">
        <v>93</v>
      </c>
      <c r="B2" s="309"/>
      <c r="C2" s="118" t="s">
        <v>94</v>
      </c>
      <c r="D2" s="45" t="s">
        <v>91</v>
      </c>
      <c r="E2" s="290" t="s">
        <v>188</v>
      </c>
      <c r="F2" s="44" t="s">
        <v>92</v>
      </c>
      <c r="G2" s="314"/>
      <c r="H2" s="238" t="s">
        <v>2</v>
      </c>
      <c r="I2" s="238" t="s">
        <v>3</v>
      </c>
      <c r="J2" s="316"/>
      <c r="K2" s="318"/>
      <c r="L2" s="323" t="s">
        <v>145</v>
      </c>
      <c r="M2" s="324"/>
      <c r="N2" s="304" t="s">
        <v>116</v>
      </c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  <c r="AD2" s="43" t="s">
        <v>219</v>
      </c>
    </row>
    <row r="3" spans="1:31" ht="18" customHeight="1" x14ac:dyDescent="0.2">
      <c r="A3" s="319" t="s">
        <v>1</v>
      </c>
      <c r="B3" s="320"/>
      <c r="C3" s="286">
        <f>SUBTOTAL(9,C1650:C1679)</f>
        <v>48465</v>
      </c>
      <c r="D3" s="286">
        <f t="shared" ref="D3:K3" si="0">SUBTOTAL(9,D1650:D1679)</f>
        <v>53008</v>
      </c>
      <c r="E3" s="286">
        <f t="shared" si="0"/>
        <v>33728</v>
      </c>
      <c r="F3" s="286">
        <f t="shared" si="0"/>
        <v>2345</v>
      </c>
      <c r="G3" s="286">
        <f t="shared" si="0"/>
        <v>137546</v>
      </c>
      <c r="H3" s="286">
        <f t="shared" si="0"/>
        <v>98274.28</v>
      </c>
      <c r="I3" s="286">
        <f t="shared" si="0"/>
        <v>43985</v>
      </c>
      <c r="J3" s="286">
        <f t="shared" si="0"/>
        <v>142259.28</v>
      </c>
      <c r="K3" s="286">
        <f t="shared" si="0"/>
        <v>4713.28</v>
      </c>
      <c r="L3" s="325"/>
      <c r="M3" s="326"/>
      <c r="N3" s="259" t="s">
        <v>153</v>
      </c>
      <c r="O3" s="259" t="s">
        <v>153</v>
      </c>
      <c r="P3" s="259" t="s">
        <v>153</v>
      </c>
      <c r="Q3" s="259" t="s">
        <v>153</v>
      </c>
      <c r="R3" s="259" t="s">
        <v>153</v>
      </c>
      <c r="S3" s="274" t="s">
        <v>188</v>
      </c>
      <c r="T3" s="274" t="s">
        <v>206</v>
      </c>
      <c r="U3" s="274" t="s">
        <v>220</v>
      </c>
      <c r="V3" s="259" t="s">
        <v>154</v>
      </c>
      <c r="W3" s="259" t="s">
        <v>155</v>
      </c>
      <c r="X3" s="259" t="s">
        <v>156</v>
      </c>
      <c r="Y3" s="259" t="s">
        <v>157</v>
      </c>
      <c r="Z3" s="259" t="s">
        <v>158</v>
      </c>
      <c r="AD3" s="107" t="s">
        <v>218</v>
      </c>
      <c r="AE3" s="107" t="s">
        <v>67</v>
      </c>
    </row>
    <row r="4" spans="1:31" ht="18" customHeight="1" thickBot="1" x14ac:dyDescent="0.25">
      <c r="A4" s="307" t="s">
        <v>102</v>
      </c>
      <c r="B4" s="307"/>
      <c r="C4" s="287">
        <f>AVERAGE(C1650:C1679)</f>
        <v>1615.5</v>
      </c>
      <c r="D4" s="287">
        <f t="shared" ref="D4:K4" si="1">AVERAGE(D1650:D1679)</f>
        <v>1766.9333333333334</v>
      </c>
      <c r="E4" s="287">
        <f t="shared" si="1"/>
        <v>1124.2666666666667</v>
      </c>
      <c r="F4" s="287">
        <f t="shared" si="1"/>
        <v>78.166666666666671</v>
      </c>
      <c r="G4" s="287">
        <f t="shared" si="1"/>
        <v>4584.8666666666668</v>
      </c>
      <c r="H4" s="287">
        <f t="shared" si="1"/>
        <v>3275.8093333333331</v>
      </c>
      <c r="I4" s="287">
        <f t="shared" si="1"/>
        <v>1466.1666666666667</v>
      </c>
      <c r="J4" s="287">
        <f t="shared" si="1"/>
        <v>4741.9759999999997</v>
      </c>
      <c r="K4" s="287">
        <f t="shared" si="1"/>
        <v>157.10933333333332</v>
      </c>
      <c r="L4" s="253" t="s">
        <v>147</v>
      </c>
      <c r="M4" s="270" t="s">
        <v>148</v>
      </c>
      <c r="N4" s="260">
        <v>8</v>
      </c>
      <c r="O4" s="260" t="s">
        <v>217</v>
      </c>
      <c r="P4" s="260">
        <v>8</v>
      </c>
      <c r="Q4" s="260" t="s">
        <v>159</v>
      </c>
      <c r="R4" s="260">
        <v>1</v>
      </c>
      <c r="S4" s="261">
        <v>80</v>
      </c>
      <c r="T4" s="261">
        <v>40</v>
      </c>
      <c r="U4" s="261">
        <v>80</v>
      </c>
      <c r="V4" s="260">
        <v>1</v>
      </c>
      <c r="W4" s="260">
        <v>32</v>
      </c>
      <c r="X4" s="260">
        <v>12</v>
      </c>
      <c r="Y4" s="260">
        <v>6</v>
      </c>
      <c r="Z4" s="260">
        <v>1</v>
      </c>
    </row>
    <row r="5" spans="1:31" s="83" customFormat="1" ht="18" hidden="1" customHeight="1" thickTop="1" x14ac:dyDescent="0.2">
      <c r="A5" s="239">
        <v>42856</v>
      </c>
      <c r="B5" s="240" t="s">
        <v>96</v>
      </c>
      <c r="C5" s="241">
        <v>0</v>
      </c>
      <c r="D5" s="242"/>
      <c r="E5" s="242"/>
      <c r="F5" s="242"/>
      <c r="G5" s="243"/>
      <c r="H5" s="242"/>
      <c r="I5" s="242">
        <v>686</v>
      </c>
      <c r="J5" s="243">
        <f>H5+I5</f>
        <v>686</v>
      </c>
      <c r="K5" s="244"/>
      <c r="N5" s="245">
        <v>32017</v>
      </c>
      <c r="O5" s="246">
        <v>39745</v>
      </c>
      <c r="P5" s="246"/>
      <c r="Q5" s="246"/>
      <c r="R5" s="246">
        <v>12540</v>
      </c>
      <c r="S5" s="247">
        <v>35.9</v>
      </c>
      <c r="T5" s="247"/>
      <c r="U5" s="247"/>
      <c r="V5" s="248">
        <v>58760</v>
      </c>
      <c r="W5" s="248">
        <v>89162</v>
      </c>
      <c r="X5" s="248">
        <v>50234</v>
      </c>
      <c r="Y5" s="248">
        <v>92778</v>
      </c>
      <c r="Z5" s="246">
        <v>85912</v>
      </c>
    </row>
    <row r="6" spans="1:31" s="83" customFormat="1" ht="18" hidden="1" customHeight="1" x14ac:dyDescent="0.2">
      <c r="A6" s="46">
        <v>42857</v>
      </c>
      <c r="B6" s="47" t="s">
        <v>97</v>
      </c>
      <c r="C6" s="87">
        <f t="shared" ref="C6:C22" si="2">(V7-V6)*1+(W7-W6)*32+(X7-X6)*12+(Y7-Y6)*6</f>
        <v>2593</v>
      </c>
      <c r="D6" s="88"/>
      <c r="E6" s="88"/>
      <c r="F6" s="88"/>
      <c r="G6" s="89"/>
      <c r="H6" s="88">
        <v>2591</v>
      </c>
      <c r="I6" s="88">
        <v>254</v>
      </c>
      <c r="J6" s="89">
        <f t="shared" ref="J6:J72" si="3">H6+I6</f>
        <v>2845</v>
      </c>
      <c r="K6" s="92">
        <f>J6-C6</f>
        <v>252</v>
      </c>
      <c r="N6" s="55">
        <v>32017</v>
      </c>
      <c r="O6" s="50">
        <v>39745</v>
      </c>
      <c r="P6" s="50"/>
      <c r="Q6" s="50"/>
      <c r="R6" s="50">
        <v>12540</v>
      </c>
      <c r="S6" s="93">
        <v>35.9</v>
      </c>
      <c r="T6" s="93"/>
      <c r="U6" s="93"/>
      <c r="V6" s="86">
        <v>59452</v>
      </c>
      <c r="W6" s="86">
        <v>89237</v>
      </c>
      <c r="X6" s="86">
        <v>50357</v>
      </c>
      <c r="Y6" s="86">
        <v>92778</v>
      </c>
      <c r="Z6" s="50">
        <v>85912</v>
      </c>
    </row>
    <row r="7" spans="1:31" s="83" customFormat="1" ht="18" hidden="1" customHeight="1" x14ac:dyDescent="0.2">
      <c r="A7" s="46">
        <v>42858</v>
      </c>
      <c r="B7" s="47" t="s">
        <v>98</v>
      </c>
      <c r="C7" s="87">
        <f t="shared" si="2"/>
        <v>2738</v>
      </c>
      <c r="D7" s="88"/>
      <c r="E7" s="88"/>
      <c r="F7" s="88"/>
      <c r="G7" s="89"/>
      <c r="H7" s="88">
        <v>2563</v>
      </c>
      <c r="I7" s="88">
        <v>314</v>
      </c>
      <c r="J7" s="89">
        <f t="shared" si="3"/>
        <v>2877</v>
      </c>
      <c r="K7" s="92">
        <f t="shared" ref="K7:K22" si="4">J7-C7</f>
        <v>139</v>
      </c>
      <c r="N7" s="55">
        <v>32017</v>
      </c>
      <c r="O7" s="50">
        <v>39745</v>
      </c>
      <c r="P7" s="50"/>
      <c r="Q7" s="50"/>
      <c r="R7" s="50">
        <v>12540</v>
      </c>
      <c r="S7" s="93">
        <v>35.9</v>
      </c>
      <c r="T7" s="93"/>
      <c r="U7" s="93"/>
      <c r="V7" s="86">
        <v>59677</v>
      </c>
      <c r="W7" s="86">
        <v>89281</v>
      </c>
      <c r="X7" s="86">
        <v>50437</v>
      </c>
      <c r="Y7" s="86">
        <v>92778</v>
      </c>
      <c r="Z7" s="50">
        <v>85912</v>
      </c>
    </row>
    <row r="8" spans="1:31" s="83" customFormat="1" ht="18" hidden="1" customHeight="1" x14ac:dyDescent="0.2">
      <c r="A8" s="46">
        <v>42859</v>
      </c>
      <c r="B8" s="47" t="s">
        <v>99</v>
      </c>
      <c r="C8" s="87">
        <f t="shared" si="2"/>
        <v>2711</v>
      </c>
      <c r="D8" s="88"/>
      <c r="E8" s="88"/>
      <c r="F8" s="88"/>
      <c r="G8" s="89"/>
      <c r="H8" s="88">
        <v>2703</v>
      </c>
      <c r="I8" s="88">
        <v>312</v>
      </c>
      <c r="J8" s="89">
        <f t="shared" si="3"/>
        <v>3015</v>
      </c>
      <c r="K8" s="92">
        <f t="shared" si="4"/>
        <v>304</v>
      </c>
      <c r="N8" s="55">
        <v>32017</v>
      </c>
      <c r="O8" s="50">
        <v>39745</v>
      </c>
      <c r="P8" s="50"/>
      <c r="Q8" s="50"/>
      <c r="R8" s="50">
        <v>12540</v>
      </c>
      <c r="S8" s="93">
        <v>35.9</v>
      </c>
      <c r="T8" s="93"/>
      <c r="U8" s="93"/>
      <c r="V8" s="86">
        <v>59915</v>
      </c>
      <c r="W8" s="86">
        <v>89331</v>
      </c>
      <c r="X8" s="86">
        <v>50512</v>
      </c>
      <c r="Y8" s="86">
        <v>92778</v>
      </c>
      <c r="Z8" s="50">
        <v>85912</v>
      </c>
    </row>
    <row r="9" spans="1:31" s="83" customFormat="1" ht="18" hidden="1" customHeight="1" x14ac:dyDescent="0.2">
      <c r="A9" s="46">
        <v>42860</v>
      </c>
      <c r="B9" s="47" t="s">
        <v>100</v>
      </c>
      <c r="C9" s="87">
        <f t="shared" si="2"/>
        <v>3158</v>
      </c>
      <c r="D9" s="88"/>
      <c r="E9" s="88"/>
      <c r="F9" s="88"/>
      <c r="G9" s="89"/>
      <c r="H9" s="88">
        <v>3031</v>
      </c>
      <c r="I9" s="88">
        <v>313</v>
      </c>
      <c r="J9" s="89">
        <f t="shared" si="3"/>
        <v>3344</v>
      </c>
      <c r="K9" s="92">
        <f t="shared" si="4"/>
        <v>186</v>
      </c>
      <c r="N9" s="55">
        <v>32017</v>
      </c>
      <c r="O9" s="50">
        <v>39745</v>
      </c>
      <c r="P9" s="50"/>
      <c r="Q9" s="50"/>
      <c r="R9" s="50">
        <v>12540</v>
      </c>
      <c r="S9" s="93">
        <v>35.9</v>
      </c>
      <c r="T9" s="93"/>
      <c r="U9" s="93"/>
      <c r="V9" s="86">
        <v>60166</v>
      </c>
      <c r="W9" s="86">
        <v>89382</v>
      </c>
      <c r="X9" s="86">
        <v>50581</v>
      </c>
      <c r="Y9" s="86">
        <v>92778</v>
      </c>
      <c r="Z9" s="50">
        <v>85912</v>
      </c>
    </row>
    <row r="10" spans="1:31" s="83" customFormat="1" ht="18" hidden="1" customHeight="1" x14ac:dyDescent="0.2">
      <c r="A10" s="46">
        <v>42861</v>
      </c>
      <c r="B10" s="47" t="s">
        <v>101</v>
      </c>
      <c r="C10" s="87">
        <f t="shared" si="2"/>
        <v>0</v>
      </c>
      <c r="D10" s="88"/>
      <c r="E10" s="88"/>
      <c r="F10" s="88"/>
      <c r="G10" s="89"/>
      <c r="H10" s="88">
        <v>0</v>
      </c>
      <c r="I10" s="88">
        <v>2733</v>
      </c>
      <c r="J10" s="89">
        <f t="shared" si="3"/>
        <v>2733</v>
      </c>
      <c r="K10" s="92"/>
      <c r="N10" s="55">
        <v>32017</v>
      </c>
      <c r="O10" s="50">
        <v>39745</v>
      </c>
      <c r="P10" s="50"/>
      <c r="Q10" s="50"/>
      <c r="R10" s="50">
        <v>12540</v>
      </c>
      <c r="S10" s="93">
        <v>35.9</v>
      </c>
      <c r="T10" s="93"/>
      <c r="U10" s="93"/>
      <c r="V10" s="86">
        <v>60444</v>
      </c>
      <c r="W10" s="86">
        <v>89442</v>
      </c>
      <c r="X10" s="86">
        <v>50661</v>
      </c>
      <c r="Y10" s="86">
        <v>92778</v>
      </c>
      <c r="Z10" s="50">
        <v>85912</v>
      </c>
    </row>
    <row r="11" spans="1:31" s="83" customFormat="1" ht="18" hidden="1" customHeight="1" x14ac:dyDescent="0.2">
      <c r="A11" s="46">
        <v>42862</v>
      </c>
      <c r="B11" s="47" t="s">
        <v>95</v>
      </c>
      <c r="C11" s="87">
        <f t="shared" si="2"/>
        <v>2623</v>
      </c>
      <c r="D11" s="88"/>
      <c r="E11" s="88"/>
      <c r="F11" s="88"/>
      <c r="G11" s="89"/>
      <c r="H11" s="88">
        <v>0</v>
      </c>
      <c r="I11" s="88">
        <v>774</v>
      </c>
      <c r="J11" s="89">
        <f t="shared" si="3"/>
        <v>774</v>
      </c>
      <c r="K11" s="92">
        <f>J10+J11-C10-C11</f>
        <v>884</v>
      </c>
      <c r="N11" s="55">
        <v>32017</v>
      </c>
      <c r="O11" s="50">
        <v>39745</v>
      </c>
      <c r="P11" s="50"/>
      <c r="Q11" s="50"/>
      <c r="R11" s="50">
        <v>12540</v>
      </c>
      <c r="S11" s="93">
        <v>35.9</v>
      </c>
      <c r="T11" s="93"/>
      <c r="U11" s="93"/>
      <c r="V11" s="85">
        <v>60444</v>
      </c>
      <c r="W11" s="85">
        <v>89442</v>
      </c>
      <c r="X11" s="85">
        <v>50661</v>
      </c>
      <c r="Y11" s="85">
        <v>92778</v>
      </c>
      <c r="Z11" s="50">
        <v>85912</v>
      </c>
    </row>
    <row r="12" spans="1:31" s="83" customFormat="1" ht="18" hidden="1" customHeight="1" x14ac:dyDescent="0.2">
      <c r="A12" s="46">
        <v>42863</v>
      </c>
      <c r="B12" s="47" t="s">
        <v>96</v>
      </c>
      <c r="C12" s="87">
        <f t="shared" si="2"/>
        <v>2945</v>
      </c>
      <c r="D12" s="88"/>
      <c r="E12" s="88"/>
      <c r="F12" s="88"/>
      <c r="G12" s="89"/>
      <c r="H12" s="88">
        <v>2915</v>
      </c>
      <c r="I12" s="88">
        <v>320</v>
      </c>
      <c r="J12" s="89">
        <f t="shared" si="3"/>
        <v>3235</v>
      </c>
      <c r="K12" s="92">
        <f t="shared" si="4"/>
        <v>290</v>
      </c>
      <c r="N12" s="55">
        <v>32017</v>
      </c>
      <c r="O12" s="50">
        <v>39745</v>
      </c>
      <c r="P12" s="50"/>
      <c r="Q12" s="50"/>
      <c r="R12" s="50">
        <v>12540</v>
      </c>
      <c r="S12" s="93">
        <v>35.9</v>
      </c>
      <c r="T12" s="93"/>
      <c r="U12" s="93"/>
      <c r="V12" s="86">
        <v>60799</v>
      </c>
      <c r="W12" s="86">
        <v>89490</v>
      </c>
      <c r="X12" s="86">
        <v>50722</v>
      </c>
      <c r="Y12" s="86">
        <v>92778</v>
      </c>
      <c r="Z12" s="50">
        <v>85912</v>
      </c>
    </row>
    <row r="13" spans="1:31" s="83" customFormat="1" ht="18" hidden="1" customHeight="1" x14ac:dyDescent="0.2">
      <c r="A13" s="46">
        <v>42864</v>
      </c>
      <c r="B13" s="47" t="s">
        <v>97</v>
      </c>
      <c r="C13" s="87">
        <f t="shared" si="2"/>
        <v>2447</v>
      </c>
      <c r="D13" s="88"/>
      <c r="E13" s="88"/>
      <c r="F13" s="88"/>
      <c r="G13" s="89"/>
      <c r="H13" s="88">
        <v>2580</v>
      </c>
      <c r="I13" s="88">
        <v>334</v>
      </c>
      <c r="J13" s="89">
        <f t="shared" si="3"/>
        <v>2914</v>
      </c>
      <c r="K13" s="92">
        <f t="shared" si="4"/>
        <v>467</v>
      </c>
      <c r="N13" s="55">
        <v>32017</v>
      </c>
      <c r="O13" s="50">
        <v>39745</v>
      </c>
      <c r="P13" s="50"/>
      <c r="Q13" s="50"/>
      <c r="R13" s="50">
        <v>12540</v>
      </c>
      <c r="S13" s="93">
        <v>35.9</v>
      </c>
      <c r="T13" s="93"/>
      <c r="U13" s="93"/>
      <c r="V13" s="86">
        <v>61048</v>
      </c>
      <c r="W13" s="86">
        <v>89542</v>
      </c>
      <c r="X13" s="86">
        <v>50808</v>
      </c>
      <c r="Y13" s="86">
        <v>92778</v>
      </c>
      <c r="Z13" s="50">
        <v>85912</v>
      </c>
    </row>
    <row r="14" spans="1:31" s="83" customFormat="1" ht="18" hidden="1" customHeight="1" x14ac:dyDescent="0.2">
      <c r="A14" s="46">
        <v>42865</v>
      </c>
      <c r="B14" s="47" t="s">
        <v>98</v>
      </c>
      <c r="C14" s="87">
        <f t="shared" si="2"/>
        <v>2957</v>
      </c>
      <c r="D14" s="88"/>
      <c r="E14" s="88"/>
      <c r="F14" s="88"/>
      <c r="G14" s="89"/>
      <c r="H14" s="88">
        <v>2904</v>
      </c>
      <c r="I14" s="88">
        <v>296</v>
      </c>
      <c r="J14" s="89">
        <f t="shared" si="3"/>
        <v>3200</v>
      </c>
      <c r="K14" s="92">
        <f t="shared" si="4"/>
        <v>243</v>
      </c>
      <c r="N14" s="55">
        <v>32017</v>
      </c>
      <c r="O14" s="50">
        <v>39745</v>
      </c>
      <c r="P14" s="50"/>
      <c r="Q14" s="50"/>
      <c r="R14" s="50">
        <v>12540</v>
      </c>
      <c r="S14" s="93">
        <v>35.9</v>
      </c>
      <c r="T14" s="93"/>
      <c r="U14" s="93"/>
      <c r="V14" s="86">
        <v>61287</v>
      </c>
      <c r="W14" s="86">
        <v>89587</v>
      </c>
      <c r="X14" s="86">
        <v>50872</v>
      </c>
      <c r="Y14" s="86">
        <v>92778</v>
      </c>
      <c r="Z14" s="50">
        <v>85912</v>
      </c>
    </row>
    <row r="15" spans="1:31" s="83" customFormat="1" ht="18" hidden="1" customHeight="1" x14ac:dyDescent="0.2">
      <c r="A15" s="46">
        <v>42866</v>
      </c>
      <c r="B15" s="47" t="s">
        <v>99</v>
      </c>
      <c r="C15" s="87">
        <f t="shared" si="2"/>
        <v>2879</v>
      </c>
      <c r="D15" s="88"/>
      <c r="E15" s="88"/>
      <c r="F15" s="88"/>
      <c r="G15" s="89"/>
      <c r="H15" s="88">
        <v>2951</v>
      </c>
      <c r="I15" s="88">
        <v>314</v>
      </c>
      <c r="J15" s="89">
        <f t="shared" si="3"/>
        <v>3265</v>
      </c>
      <c r="K15" s="92">
        <f t="shared" si="4"/>
        <v>386</v>
      </c>
      <c r="N15" s="55">
        <v>32017</v>
      </c>
      <c r="O15" s="50">
        <v>39745</v>
      </c>
      <c r="P15" s="50"/>
      <c r="Q15" s="50"/>
      <c r="R15" s="50">
        <v>12540</v>
      </c>
      <c r="S15" s="93">
        <v>35.9</v>
      </c>
      <c r="T15" s="93"/>
      <c r="U15" s="93"/>
      <c r="V15" s="86">
        <v>61544</v>
      </c>
      <c r="W15" s="86">
        <v>89644</v>
      </c>
      <c r="X15" s="86">
        <v>50945</v>
      </c>
      <c r="Y15" s="86">
        <v>92778</v>
      </c>
      <c r="Z15" s="50">
        <v>85912</v>
      </c>
    </row>
    <row r="16" spans="1:31" s="83" customFormat="1" ht="18" hidden="1" customHeight="1" x14ac:dyDescent="0.2">
      <c r="A16" s="46">
        <v>42867</v>
      </c>
      <c r="B16" s="47" t="s">
        <v>100</v>
      </c>
      <c r="C16" s="87">
        <f t="shared" si="2"/>
        <v>0</v>
      </c>
      <c r="D16" s="88"/>
      <c r="E16" s="88"/>
      <c r="F16" s="88"/>
      <c r="G16" s="89"/>
      <c r="H16" s="88">
        <v>3105</v>
      </c>
      <c r="I16" s="88">
        <v>309</v>
      </c>
      <c r="J16" s="89">
        <f t="shared" si="3"/>
        <v>3414</v>
      </c>
      <c r="K16" s="92"/>
      <c r="N16" s="55">
        <v>32017</v>
      </c>
      <c r="O16" s="50">
        <v>39745</v>
      </c>
      <c r="P16" s="50"/>
      <c r="Q16" s="50"/>
      <c r="R16" s="50">
        <v>12540</v>
      </c>
      <c r="S16" s="93">
        <v>35.9</v>
      </c>
      <c r="T16" s="93"/>
      <c r="U16" s="93"/>
      <c r="V16" s="86">
        <v>61791</v>
      </c>
      <c r="W16" s="86">
        <v>89700</v>
      </c>
      <c r="X16" s="86">
        <v>51015</v>
      </c>
      <c r="Y16" s="86">
        <v>92778</v>
      </c>
      <c r="Z16" s="50">
        <v>85912</v>
      </c>
    </row>
    <row r="17" spans="1:26" s="83" customFormat="1" ht="18" hidden="1" customHeight="1" x14ac:dyDescent="0.2">
      <c r="A17" s="46">
        <v>42868</v>
      </c>
      <c r="B17" s="47" t="s">
        <v>101</v>
      </c>
      <c r="C17" s="87">
        <f t="shared" si="2"/>
        <v>0</v>
      </c>
      <c r="D17" s="88"/>
      <c r="E17" s="88"/>
      <c r="F17" s="88"/>
      <c r="G17" s="89"/>
      <c r="H17" s="88">
        <v>0</v>
      </c>
      <c r="I17" s="88">
        <v>981</v>
      </c>
      <c r="J17" s="89">
        <f t="shared" si="3"/>
        <v>981</v>
      </c>
      <c r="K17" s="92"/>
      <c r="N17" s="55">
        <v>32017</v>
      </c>
      <c r="O17" s="50">
        <v>39745</v>
      </c>
      <c r="P17" s="50"/>
      <c r="Q17" s="50"/>
      <c r="R17" s="50">
        <v>12540</v>
      </c>
      <c r="S17" s="93">
        <v>35.9</v>
      </c>
      <c r="T17" s="93"/>
      <c r="U17" s="93"/>
      <c r="V17" s="85">
        <v>61791</v>
      </c>
      <c r="W17" s="85">
        <v>89700</v>
      </c>
      <c r="X17" s="85">
        <v>51015</v>
      </c>
      <c r="Y17" s="85">
        <v>92778</v>
      </c>
      <c r="Z17" s="50">
        <v>85912</v>
      </c>
    </row>
    <row r="18" spans="1:26" s="83" customFormat="1" ht="18" hidden="1" customHeight="1" x14ac:dyDescent="0.2">
      <c r="A18" s="46">
        <v>42869</v>
      </c>
      <c r="B18" s="47" t="s">
        <v>95</v>
      </c>
      <c r="C18" s="87">
        <f t="shared" si="2"/>
        <v>3758</v>
      </c>
      <c r="D18" s="88"/>
      <c r="E18" s="88"/>
      <c r="F18" s="88"/>
      <c r="G18" s="89"/>
      <c r="H18" s="88">
        <v>0</v>
      </c>
      <c r="I18" s="88">
        <v>1298</v>
      </c>
      <c r="J18" s="89">
        <f t="shared" si="3"/>
        <v>1298</v>
      </c>
      <c r="K18" s="92">
        <f>J17+J18+J16-C16-C17-C18</f>
        <v>1935</v>
      </c>
      <c r="N18" s="55">
        <v>32017</v>
      </c>
      <c r="O18" s="50">
        <v>39745</v>
      </c>
      <c r="P18" s="50"/>
      <c r="Q18" s="50"/>
      <c r="R18" s="50">
        <v>12540</v>
      </c>
      <c r="S18" s="93">
        <v>35.9</v>
      </c>
      <c r="T18" s="93"/>
      <c r="U18" s="93"/>
      <c r="V18" s="85">
        <v>61791</v>
      </c>
      <c r="W18" s="85">
        <v>89700</v>
      </c>
      <c r="X18" s="85">
        <v>51015</v>
      </c>
      <c r="Y18" s="85">
        <v>92778</v>
      </c>
      <c r="Z18" s="50">
        <v>85912</v>
      </c>
    </row>
    <row r="19" spans="1:26" s="83" customFormat="1" ht="18" hidden="1" customHeight="1" x14ac:dyDescent="0.2">
      <c r="A19" s="46">
        <v>42870</v>
      </c>
      <c r="B19" s="47" t="s">
        <v>96</v>
      </c>
      <c r="C19" s="87">
        <f t="shared" si="2"/>
        <v>2831</v>
      </c>
      <c r="D19" s="88"/>
      <c r="E19" s="88"/>
      <c r="F19" s="88"/>
      <c r="G19" s="89"/>
      <c r="H19" s="88">
        <v>3430</v>
      </c>
      <c r="I19" s="88">
        <v>291</v>
      </c>
      <c r="J19" s="89">
        <f t="shared" si="3"/>
        <v>3721</v>
      </c>
      <c r="K19" s="92">
        <f t="shared" si="4"/>
        <v>890</v>
      </c>
      <c r="N19" s="55">
        <v>32017</v>
      </c>
      <c r="O19" s="50">
        <v>39745</v>
      </c>
      <c r="P19" s="50"/>
      <c r="Q19" s="50"/>
      <c r="R19" s="50">
        <v>12540</v>
      </c>
      <c r="S19" s="93">
        <v>35.9</v>
      </c>
      <c r="T19" s="93"/>
      <c r="U19" s="93"/>
      <c r="V19" s="86">
        <v>62293</v>
      </c>
      <c r="W19" s="86">
        <v>89774</v>
      </c>
      <c r="X19" s="86">
        <v>51089</v>
      </c>
      <c r="Y19" s="86">
        <v>92778</v>
      </c>
      <c r="Z19" s="50">
        <v>85912</v>
      </c>
    </row>
    <row r="20" spans="1:26" s="83" customFormat="1" ht="18" hidden="1" customHeight="1" x14ac:dyDescent="0.2">
      <c r="A20" s="46">
        <v>42871</v>
      </c>
      <c r="B20" s="47" t="s">
        <v>97</v>
      </c>
      <c r="C20" s="87">
        <f t="shared" si="2"/>
        <v>2261</v>
      </c>
      <c r="D20" s="88"/>
      <c r="E20" s="88"/>
      <c r="F20" s="88"/>
      <c r="G20" s="89"/>
      <c r="H20" s="88">
        <v>2928</v>
      </c>
      <c r="I20" s="88">
        <v>379</v>
      </c>
      <c r="J20" s="89">
        <f t="shared" si="3"/>
        <v>3307</v>
      </c>
      <c r="K20" s="92">
        <f t="shared" si="4"/>
        <v>1046</v>
      </c>
      <c r="N20" s="55">
        <v>32017</v>
      </c>
      <c r="O20" s="50">
        <v>39745</v>
      </c>
      <c r="P20" s="50"/>
      <c r="Q20" s="50"/>
      <c r="R20" s="50">
        <v>12540</v>
      </c>
      <c r="S20" s="93">
        <v>35.9</v>
      </c>
      <c r="T20" s="93"/>
      <c r="U20" s="93"/>
      <c r="V20" s="86">
        <v>62528</v>
      </c>
      <c r="W20" s="86">
        <v>89827</v>
      </c>
      <c r="X20" s="86">
        <v>51164</v>
      </c>
      <c r="Y20" s="86">
        <v>92778</v>
      </c>
      <c r="Z20" s="50">
        <v>85912</v>
      </c>
    </row>
    <row r="21" spans="1:26" s="83" customFormat="1" ht="18" hidden="1" customHeight="1" x14ac:dyDescent="0.2">
      <c r="A21" s="46">
        <v>42872</v>
      </c>
      <c r="B21" s="47" t="s">
        <v>98</v>
      </c>
      <c r="C21" s="87">
        <f t="shared" si="2"/>
        <v>2131</v>
      </c>
      <c r="D21" s="88"/>
      <c r="E21" s="88"/>
      <c r="F21" s="88"/>
      <c r="G21" s="89"/>
      <c r="H21" s="88">
        <v>2680</v>
      </c>
      <c r="I21" s="88">
        <v>343</v>
      </c>
      <c r="J21" s="89">
        <f t="shared" si="3"/>
        <v>3023</v>
      </c>
      <c r="K21" s="92">
        <f t="shared" si="4"/>
        <v>892</v>
      </c>
      <c r="N21" s="55">
        <v>32017</v>
      </c>
      <c r="O21" s="50">
        <v>39745</v>
      </c>
      <c r="P21" s="50"/>
      <c r="Q21" s="50"/>
      <c r="R21" s="50">
        <v>12540</v>
      </c>
      <c r="S21" s="93">
        <v>35.9</v>
      </c>
      <c r="T21" s="93"/>
      <c r="U21" s="93"/>
      <c r="V21" s="86">
        <v>62741</v>
      </c>
      <c r="W21" s="86">
        <v>89867</v>
      </c>
      <c r="X21" s="86">
        <v>51228</v>
      </c>
      <c r="Y21" s="86">
        <v>92778</v>
      </c>
      <c r="Z21" s="50">
        <v>85912</v>
      </c>
    </row>
    <row r="22" spans="1:26" ht="18" hidden="1" customHeight="1" x14ac:dyDescent="0.2">
      <c r="A22" s="46">
        <v>42873</v>
      </c>
      <c r="B22" s="47" t="s">
        <v>99</v>
      </c>
      <c r="C22" s="87">
        <f t="shared" si="2"/>
        <v>2626</v>
      </c>
      <c r="D22" s="90"/>
      <c r="E22" s="90"/>
      <c r="F22" s="90"/>
      <c r="G22" s="91"/>
      <c r="H22" s="90">
        <v>3354</v>
      </c>
      <c r="I22" s="90">
        <v>339</v>
      </c>
      <c r="J22" s="89">
        <f t="shared" si="3"/>
        <v>3693</v>
      </c>
      <c r="K22" s="92">
        <f t="shared" si="4"/>
        <v>1067</v>
      </c>
      <c r="L22" s="43"/>
      <c r="N22" s="55">
        <v>32017</v>
      </c>
      <c r="O22" s="50">
        <v>39745</v>
      </c>
      <c r="P22" s="50"/>
      <c r="Q22" s="50"/>
      <c r="R22" s="50">
        <v>12540</v>
      </c>
      <c r="S22" s="93">
        <v>35.9</v>
      </c>
      <c r="T22" s="93"/>
      <c r="U22" s="93"/>
      <c r="V22" s="86">
        <v>62952</v>
      </c>
      <c r="W22" s="86">
        <v>89906</v>
      </c>
      <c r="X22" s="86">
        <v>51284</v>
      </c>
      <c r="Y22" s="86">
        <v>92778</v>
      </c>
      <c r="Z22" s="50">
        <v>85912</v>
      </c>
    </row>
    <row r="23" spans="1:26" ht="18" hidden="1" customHeight="1" x14ac:dyDescent="0.2">
      <c r="A23" s="46">
        <v>42874</v>
      </c>
      <c r="B23" s="47" t="s">
        <v>100</v>
      </c>
      <c r="C23" s="87">
        <f t="shared" ref="C23:C29" si="5">(V24-V23)*1+(W24-W23)*32+(X24-X23)*12+(Y24-Y23)*6</f>
        <v>0</v>
      </c>
      <c r="D23" s="90"/>
      <c r="E23" s="90"/>
      <c r="F23" s="90"/>
      <c r="G23" s="91"/>
      <c r="H23" s="90">
        <v>3403</v>
      </c>
      <c r="I23" s="90">
        <v>369</v>
      </c>
      <c r="J23" s="89">
        <f t="shared" si="3"/>
        <v>3772</v>
      </c>
      <c r="K23" s="84"/>
      <c r="L23" s="43"/>
      <c r="N23" s="52">
        <v>32017</v>
      </c>
      <c r="O23" s="49">
        <v>39745</v>
      </c>
      <c r="P23" s="49"/>
      <c r="Q23" s="49"/>
      <c r="R23" s="49">
        <v>12540</v>
      </c>
      <c r="S23" s="94">
        <v>35.9</v>
      </c>
      <c r="T23" s="94"/>
      <c r="U23" s="94"/>
      <c r="V23" s="49">
        <v>63186</v>
      </c>
      <c r="W23" s="49">
        <v>89950</v>
      </c>
      <c r="X23" s="49">
        <v>51366</v>
      </c>
      <c r="Y23" s="49">
        <v>92778</v>
      </c>
      <c r="Z23" s="49">
        <v>85912</v>
      </c>
    </row>
    <row r="24" spans="1:26" s="51" customFormat="1" ht="18" hidden="1" customHeight="1" x14ac:dyDescent="0.2">
      <c r="A24" s="46">
        <v>42875</v>
      </c>
      <c r="B24" s="47" t="s">
        <v>101</v>
      </c>
      <c r="C24" s="87">
        <f t="shared" si="5"/>
        <v>0</v>
      </c>
      <c r="D24" s="90"/>
      <c r="E24" s="90"/>
      <c r="F24" s="90"/>
      <c r="G24" s="91"/>
      <c r="H24" s="90">
        <v>0</v>
      </c>
      <c r="I24" s="90">
        <v>1408</v>
      </c>
      <c r="J24" s="89">
        <f t="shared" si="3"/>
        <v>1408</v>
      </c>
      <c r="K24" s="84"/>
      <c r="N24" s="55">
        <v>32017</v>
      </c>
      <c r="O24" s="50">
        <v>39745</v>
      </c>
      <c r="P24" s="50"/>
      <c r="Q24" s="50"/>
      <c r="R24" s="50">
        <v>12540</v>
      </c>
      <c r="S24" s="93">
        <v>35.9</v>
      </c>
      <c r="T24" s="93"/>
      <c r="U24" s="93"/>
      <c r="V24" s="50">
        <v>63186</v>
      </c>
      <c r="W24" s="50">
        <v>89950</v>
      </c>
      <c r="X24" s="50">
        <v>51366</v>
      </c>
      <c r="Y24" s="50">
        <v>92778</v>
      </c>
      <c r="Z24" s="50">
        <v>85912</v>
      </c>
    </row>
    <row r="25" spans="1:26" s="51" customFormat="1" ht="18" hidden="1" customHeight="1" x14ac:dyDescent="0.2">
      <c r="A25" s="46">
        <v>42876</v>
      </c>
      <c r="B25" s="47" t="s">
        <v>95</v>
      </c>
      <c r="C25" s="87">
        <f t="shared" si="5"/>
        <v>3325</v>
      </c>
      <c r="D25" s="90">
        <f>(N26-N25)*8+(O26-O25)*8</f>
        <v>0</v>
      </c>
      <c r="E25" s="90">
        <f>(R26-R25)*1+(S26-S25)*120</f>
        <v>2474</v>
      </c>
      <c r="F25" s="90">
        <f>(Z26-Z25)*1</f>
        <v>211</v>
      </c>
      <c r="G25" s="91">
        <f>C25+D25+F25+E25</f>
        <v>6010</v>
      </c>
      <c r="H25" s="90">
        <v>0</v>
      </c>
      <c r="I25" s="90">
        <v>1497</v>
      </c>
      <c r="J25" s="89">
        <f t="shared" si="3"/>
        <v>1497</v>
      </c>
      <c r="K25" s="92">
        <f>J24+J25+J23-C23-C24-C25</f>
        <v>3352</v>
      </c>
      <c r="N25" s="55">
        <v>32017</v>
      </c>
      <c r="O25" s="50">
        <v>39745</v>
      </c>
      <c r="P25" s="50"/>
      <c r="Q25" s="50"/>
      <c r="R25" s="50">
        <v>12540</v>
      </c>
      <c r="S25" s="93">
        <v>35.9</v>
      </c>
      <c r="T25" s="93"/>
      <c r="U25" s="93"/>
      <c r="V25" s="50">
        <v>63186</v>
      </c>
      <c r="W25" s="50">
        <v>89950</v>
      </c>
      <c r="X25" s="50">
        <v>51366</v>
      </c>
      <c r="Y25" s="50">
        <v>92778</v>
      </c>
      <c r="Z25" s="50">
        <v>85912</v>
      </c>
    </row>
    <row r="26" spans="1:26" s="51" customFormat="1" ht="18" hidden="1" customHeight="1" x14ac:dyDescent="0.2">
      <c r="A26" s="46">
        <v>42877</v>
      </c>
      <c r="B26" s="47" t="s">
        <v>96</v>
      </c>
      <c r="C26" s="48">
        <f t="shared" si="5"/>
        <v>2617</v>
      </c>
      <c r="D26" s="45">
        <f>(N27-N26)*8+(O27-O26)*8</f>
        <v>0</v>
      </c>
      <c r="E26" s="45">
        <f>(R27-R26)*1+(S27-S26)*120</f>
        <v>828.00000000000023</v>
      </c>
      <c r="F26" s="45">
        <f>(Z27-Z26)*1</f>
        <v>71</v>
      </c>
      <c r="G26" s="79">
        <f>C26+D26+F26+E26</f>
        <v>3516</v>
      </c>
      <c r="H26" s="77">
        <v>3619</v>
      </c>
      <c r="I26" s="77">
        <v>323</v>
      </c>
      <c r="J26" s="82">
        <f t="shared" si="3"/>
        <v>3942</v>
      </c>
      <c r="K26" s="81">
        <f>J26-G26</f>
        <v>426</v>
      </c>
      <c r="N26" s="52">
        <v>32017</v>
      </c>
      <c r="O26" s="52">
        <v>39745</v>
      </c>
      <c r="P26" s="52"/>
      <c r="Q26" s="52"/>
      <c r="R26" s="52">
        <v>12614</v>
      </c>
      <c r="S26" s="95">
        <v>55.9</v>
      </c>
      <c r="T26" s="95"/>
      <c r="U26" s="95"/>
      <c r="V26" s="52">
        <v>63727</v>
      </c>
      <c r="W26" s="52">
        <v>90010</v>
      </c>
      <c r="X26" s="52">
        <v>51438</v>
      </c>
      <c r="Y26" s="52">
        <v>92778</v>
      </c>
      <c r="Z26" s="52">
        <v>86123</v>
      </c>
    </row>
    <row r="27" spans="1:26" s="51" customFormat="1" ht="18" hidden="1" customHeight="1" x14ac:dyDescent="0.2">
      <c r="A27" s="46">
        <v>42878</v>
      </c>
      <c r="B27" s="47" t="s">
        <v>97</v>
      </c>
      <c r="C27" s="48">
        <f t="shared" si="5"/>
        <v>2920</v>
      </c>
      <c r="D27" s="45">
        <f>(N28-N27)*8+(O28-O27)*8</f>
        <v>0</v>
      </c>
      <c r="E27" s="45">
        <f>(R28-R27)*1+(S28-S27)*120</f>
        <v>768.00000000000034</v>
      </c>
      <c r="F27" s="45">
        <f>(Z28-Z27)*1</f>
        <v>71</v>
      </c>
      <c r="G27" s="79">
        <f>C27+D27+F27+E27</f>
        <v>3759.0000000000005</v>
      </c>
      <c r="H27" s="77">
        <v>4020</v>
      </c>
      <c r="I27" s="77">
        <v>682</v>
      </c>
      <c r="J27" s="82">
        <f t="shared" si="3"/>
        <v>4702</v>
      </c>
      <c r="K27" s="81">
        <f>J27-G27</f>
        <v>942.99999999999955</v>
      </c>
      <c r="N27" s="52">
        <v>32017</v>
      </c>
      <c r="O27" s="52">
        <v>39745</v>
      </c>
      <c r="P27" s="52"/>
      <c r="Q27" s="52"/>
      <c r="R27" s="52">
        <v>12650</v>
      </c>
      <c r="S27" s="95">
        <v>62.5</v>
      </c>
      <c r="T27" s="95"/>
      <c r="U27" s="95"/>
      <c r="V27" s="52">
        <v>63964</v>
      </c>
      <c r="W27" s="52">
        <v>90057</v>
      </c>
      <c r="X27" s="52">
        <v>51511</v>
      </c>
      <c r="Y27" s="52">
        <v>92778</v>
      </c>
      <c r="Z27" s="52">
        <v>86194</v>
      </c>
    </row>
    <row r="28" spans="1:26" s="51" customFormat="1" ht="18" hidden="1" customHeight="1" x14ac:dyDescent="0.2">
      <c r="A28" s="46">
        <v>42879</v>
      </c>
      <c r="B28" s="47" t="s">
        <v>98</v>
      </c>
      <c r="C28" s="48">
        <f t="shared" si="5"/>
        <v>2890</v>
      </c>
      <c r="D28" s="45">
        <f>(N29-N28)*8+(O29-O28)*8</f>
        <v>0</v>
      </c>
      <c r="E28" s="45">
        <f>(R29-R28)*1+(S29-S28)*120</f>
        <v>761.00000000000034</v>
      </c>
      <c r="F28" s="45">
        <f>(Z29-Z28)*1</f>
        <v>73</v>
      </c>
      <c r="G28" s="79">
        <f>C28+D28+F28+E28</f>
        <v>3724.0000000000005</v>
      </c>
      <c r="H28" s="77">
        <v>4189</v>
      </c>
      <c r="I28" s="77">
        <v>845</v>
      </c>
      <c r="J28" s="82">
        <f t="shared" si="3"/>
        <v>5034</v>
      </c>
      <c r="K28" s="81">
        <f>J28-G28</f>
        <v>1309.9999999999995</v>
      </c>
      <c r="N28" s="52">
        <v>32017</v>
      </c>
      <c r="O28" s="52">
        <v>39745</v>
      </c>
      <c r="P28" s="52"/>
      <c r="Q28" s="52"/>
      <c r="R28" s="52">
        <v>12674</v>
      </c>
      <c r="S28" s="95">
        <v>68.7</v>
      </c>
      <c r="T28" s="95"/>
      <c r="U28" s="95"/>
      <c r="V28" s="52">
        <v>64220</v>
      </c>
      <c r="W28" s="52">
        <v>90114</v>
      </c>
      <c r="X28" s="52">
        <v>51581</v>
      </c>
      <c r="Y28" s="52">
        <v>92778</v>
      </c>
      <c r="Z28" s="52">
        <v>86265</v>
      </c>
    </row>
    <row r="29" spans="1:26" s="51" customFormat="1" ht="18" hidden="1" customHeight="1" x14ac:dyDescent="0.2">
      <c r="A29" s="46">
        <v>42880</v>
      </c>
      <c r="B29" s="47" t="s">
        <v>99</v>
      </c>
      <c r="C29" s="48">
        <f t="shared" si="5"/>
        <v>2527</v>
      </c>
      <c r="D29" s="45">
        <f>(N30-N29)*8+(O30-O29)*8</f>
        <v>0</v>
      </c>
      <c r="E29" s="45">
        <f>(R30-R29)*1+(S30-S29)*120</f>
        <v>677</v>
      </c>
      <c r="F29" s="45">
        <f>(Z30-Z29)*1</f>
        <v>65</v>
      </c>
      <c r="G29" s="79">
        <f>C29+D29+F29+E29</f>
        <v>3269</v>
      </c>
      <c r="H29" s="77">
        <v>3836</v>
      </c>
      <c r="I29" s="77">
        <v>758</v>
      </c>
      <c r="J29" s="82">
        <f t="shared" si="3"/>
        <v>4594</v>
      </c>
      <c r="K29" s="81">
        <f t="shared" ref="K29:K37" si="6">J29-G29</f>
        <v>1325</v>
      </c>
      <c r="N29" s="52">
        <v>32017</v>
      </c>
      <c r="O29" s="52">
        <v>39745</v>
      </c>
      <c r="P29" s="52"/>
      <c r="Q29" s="52"/>
      <c r="R29" s="52">
        <v>12691</v>
      </c>
      <c r="S29" s="95">
        <v>74.900000000000006</v>
      </c>
      <c r="T29" s="95"/>
      <c r="U29" s="95"/>
      <c r="V29" s="52">
        <v>64482</v>
      </c>
      <c r="W29" s="52">
        <v>90168</v>
      </c>
      <c r="X29" s="52">
        <v>51656</v>
      </c>
      <c r="Y29" s="52">
        <v>92778</v>
      </c>
      <c r="Z29" s="52">
        <v>86338</v>
      </c>
    </row>
    <row r="30" spans="1:26" ht="18" hidden="1" customHeight="1" x14ac:dyDescent="0.2">
      <c r="A30" s="46">
        <v>42881</v>
      </c>
      <c r="B30" s="47" t="s">
        <v>100</v>
      </c>
      <c r="C30" s="48"/>
      <c r="D30" s="45"/>
      <c r="E30" s="45">
        <v>0</v>
      </c>
      <c r="F30" s="45"/>
      <c r="G30" s="79">
        <v>0</v>
      </c>
      <c r="H30" s="77">
        <v>3832</v>
      </c>
      <c r="I30" s="77">
        <v>823</v>
      </c>
      <c r="J30" s="82">
        <f t="shared" si="3"/>
        <v>4655</v>
      </c>
      <c r="K30" s="81">
        <v>0</v>
      </c>
      <c r="L30" s="43"/>
      <c r="N30" s="52">
        <v>32017</v>
      </c>
      <c r="O30" s="52">
        <v>39745</v>
      </c>
      <c r="P30" s="52"/>
      <c r="Q30" s="52"/>
      <c r="R30" s="52">
        <v>12708</v>
      </c>
      <c r="S30" s="95">
        <v>80.400000000000006</v>
      </c>
      <c r="T30" s="95"/>
      <c r="U30" s="95"/>
      <c r="V30" s="52">
        <v>64725</v>
      </c>
      <c r="W30" s="52">
        <v>90212</v>
      </c>
      <c r="X30" s="52">
        <v>51729</v>
      </c>
      <c r="Y30" s="52">
        <v>92778</v>
      </c>
      <c r="Z30" s="52">
        <v>86403</v>
      </c>
    </row>
    <row r="31" spans="1:26" ht="18" hidden="1" customHeight="1" x14ac:dyDescent="0.2">
      <c r="A31" s="46">
        <v>42882</v>
      </c>
      <c r="B31" s="56" t="s">
        <v>103</v>
      </c>
      <c r="C31" s="48"/>
      <c r="D31" s="45"/>
      <c r="E31" s="45">
        <v>0</v>
      </c>
      <c r="F31" s="45"/>
      <c r="G31" s="79">
        <v>0</v>
      </c>
      <c r="H31" s="77"/>
      <c r="I31" s="77">
        <v>2633</v>
      </c>
      <c r="J31" s="82">
        <f t="shared" si="3"/>
        <v>2633</v>
      </c>
      <c r="K31" s="81">
        <v>0</v>
      </c>
      <c r="L31" s="43"/>
      <c r="N31" s="55">
        <v>32017</v>
      </c>
      <c r="O31" s="55">
        <v>39745</v>
      </c>
      <c r="P31" s="55"/>
      <c r="Q31" s="55"/>
      <c r="R31" s="55">
        <v>12708</v>
      </c>
      <c r="S31" s="96">
        <v>80.400000000000006</v>
      </c>
      <c r="T31" s="96"/>
      <c r="U31" s="96"/>
      <c r="V31" s="55">
        <v>64725</v>
      </c>
      <c r="W31" s="55">
        <v>90212</v>
      </c>
      <c r="X31" s="55">
        <v>51729</v>
      </c>
      <c r="Y31" s="55">
        <v>92778</v>
      </c>
      <c r="Z31" s="55">
        <v>86403</v>
      </c>
    </row>
    <row r="32" spans="1:26" ht="18" hidden="1" customHeight="1" x14ac:dyDescent="0.2">
      <c r="A32" s="46">
        <v>42883</v>
      </c>
      <c r="B32" s="56" t="s">
        <v>104</v>
      </c>
      <c r="C32" s="48"/>
      <c r="D32" s="45"/>
      <c r="E32" s="45">
        <v>0</v>
      </c>
      <c r="F32" s="45"/>
      <c r="G32" s="79">
        <v>0</v>
      </c>
      <c r="H32" s="77"/>
      <c r="I32" s="77">
        <v>2633</v>
      </c>
      <c r="J32" s="82">
        <f t="shared" si="3"/>
        <v>2633</v>
      </c>
      <c r="K32" s="81">
        <v>0</v>
      </c>
      <c r="L32" s="43"/>
      <c r="N32" s="55">
        <v>32017</v>
      </c>
      <c r="O32" s="55">
        <v>39745</v>
      </c>
      <c r="P32" s="55"/>
      <c r="Q32" s="55"/>
      <c r="R32" s="55">
        <v>12708</v>
      </c>
      <c r="S32" s="96">
        <v>80.400000000000006</v>
      </c>
      <c r="T32" s="96"/>
      <c r="U32" s="96"/>
      <c r="V32" s="55">
        <v>64725</v>
      </c>
      <c r="W32" s="55">
        <v>90212</v>
      </c>
      <c r="X32" s="55">
        <v>51729</v>
      </c>
      <c r="Y32" s="55">
        <v>92778</v>
      </c>
      <c r="Z32" s="55">
        <v>86403</v>
      </c>
    </row>
    <row r="33" spans="1:26" ht="18" hidden="1" customHeight="1" x14ac:dyDescent="0.2">
      <c r="A33" s="46">
        <v>42884</v>
      </c>
      <c r="B33" s="56" t="s">
        <v>105</v>
      </c>
      <c r="C33" s="48"/>
      <c r="D33" s="45"/>
      <c r="E33" s="45">
        <v>0</v>
      </c>
      <c r="F33" s="45"/>
      <c r="G33" s="79">
        <v>0</v>
      </c>
      <c r="H33" s="77">
        <v>2014</v>
      </c>
      <c r="I33" s="77">
        <v>703</v>
      </c>
      <c r="J33" s="82">
        <f t="shared" si="3"/>
        <v>2717</v>
      </c>
      <c r="K33" s="81">
        <v>0</v>
      </c>
      <c r="L33" s="43"/>
      <c r="N33" s="55">
        <v>32017</v>
      </c>
      <c r="O33" s="55">
        <v>39745</v>
      </c>
      <c r="P33" s="55"/>
      <c r="Q33" s="55"/>
      <c r="R33" s="55">
        <v>12708</v>
      </c>
      <c r="S33" s="96">
        <v>80.400000000000006</v>
      </c>
      <c r="T33" s="96"/>
      <c r="U33" s="96"/>
      <c r="V33" s="55">
        <v>64725</v>
      </c>
      <c r="W33" s="55">
        <v>90212</v>
      </c>
      <c r="X33" s="55">
        <v>51729</v>
      </c>
      <c r="Y33" s="55">
        <v>92778</v>
      </c>
      <c r="Z33" s="55">
        <v>86403</v>
      </c>
    </row>
    <row r="34" spans="1:26" ht="18" hidden="1" customHeight="1" x14ac:dyDescent="0.2">
      <c r="A34" s="46">
        <v>42885</v>
      </c>
      <c r="B34" s="56" t="s">
        <v>106</v>
      </c>
      <c r="C34" s="48">
        <f>(V35-V34)*1+(W35-W34)*32+(X35-X34)*12+(Y35-Y34)*6</f>
        <v>5130</v>
      </c>
      <c r="D34" s="45">
        <f>(N35-N34)*8+(O35-O34)*8</f>
        <v>240</v>
      </c>
      <c r="E34" s="45">
        <f>(R35-R34)*1+(S35-S34)*120</f>
        <v>3767.9999999999986</v>
      </c>
      <c r="F34" s="45">
        <f>(Z35-Z34)*1</f>
        <v>319</v>
      </c>
      <c r="G34" s="79">
        <f>C34+D34+F34+E34</f>
        <v>9456.9999999999982</v>
      </c>
      <c r="H34" s="77"/>
      <c r="I34" s="77">
        <v>2593</v>
      </c>
      <c r="J34" s="82">
        <f t="shared" si="3"/>
        <v>2593</v>
      </c>
      <c r="K34" s="81">
        <f>J30+J31+J32+J33+J34-G34</f>
        <v>5774.0000000000018</v>
      </c>
      <c r="L34" s="43"/>
      <c r="N34" s="55">
        <v>32017</v>
      </c>
      <c r="O34" s="55">
        <v>39745</v>
      </c>
      <c r="P34" s="55"/>
      <c r="Q34" s="55"/>
      <c r="R34" s="55">
        <v>12708</v>
      </c>
      <c r="S34" s="96">
        <v>80.400000000000006</v>
      </c>
      <c r="T34" s="96"/>
      <c r="U34" s="96"/>
      <c r="V34" s="55">
        <v>64725</v>
      </c>
      <c r="W34" s="55">
        <v>90212</v>
      </c>
      <c r="X34" s="55">
        <v>51729</v>
      </c>
      <c r="Y34" s="55">
        <v>92778</v>
      </c>
      <c r="Z34" s="55">
        <v>86403</v>
      </c>
    </row>
    <row r="35" spans="1:26" ht="18" hidden="1" customHeight="1" x14ac:dyDescent="0.2">
      <c r="A35" s="46">
        <v>42886</v>
      </c>
      <c r="B35" s="47" t="s">
        <v>98</v>
      </c>
      <c r="C35" s="48">
        <f>(V36-V35)*1+(W36-W35)*32+(X36-X35)*12+(Y36-Y35)*6</f>
        <v>3056</v>
      </c>
      <c r="D35" s="45">
        <f>(N36-N35)*8+(O36-O35)*8</f>
        <v>80</v>
      </c>
      <c r="E35" s="45">
        <f>(R36-R35)*1+(S36-S35)*120</f>
        <v>795</v>
      </c>
      <c r="F35" s="45">
        <f>(Z36-Z35)*1</f>
        <v>73</v>
      </c>
      <c r="G35" s="79">
        <f>C35+D35+F35+E35</f>
        <v>4004</v>
      </c>
      <c r="H35" s="77">
        <v>4552</v>
      </c>
      <c r="I35" s="77">
        <v>689</v>
      </c>
      <c r="J35" s="82">
        <f t="shared" si="3"/>
        <v>5241</v>
      </c>
      <c r="K35" s="81">
        <f t="shared" si="6"/>
        <v>1237</v>
      </c>
      <c r="L35" s="43"/>
      <c r="N35" s="52">
        <v>32047</v>
      </c>
      <c r="O35" s="52">
        <v>39745</v>
      </c>
      <c r="P35" s="52"/>
      <c r="Q35" s="52"/>
      <c r="R35" s="52">
        <v>12792</v>
      </c>
      <c r="S35" s="95">
        <v>111.1</v>
      </c>
      <c r="T35" s="95"/>
      <c r="U35" s="95"/>
      <c r="V35" s="52">
        <v>65375</v>
      </c>
      <c r="W35" s="52">
        <v>90304</v>
      </c>
      <c r="X35" s="52">
        <v>51857</v>
      </c>
      <c r="Y35" s="52">
        <v>92778</v>
      </c>
      <c r="Z35" s="52">
        <v>86722</v>
      </c>
    </row>
    <row r="36" spans="1:26" ht="18" hidden="1" customHeight="1" x14ac:dyDescent="0.2">
      <c r="A36" s="46">
        <v>42887</v>
      </c>
      <c r="B36" s="47" t="s">
        <v>99</v>
      </c>
      <c r="C36" s="48">
        <f>(V37-V36)*1+(W37-W36)*32+(X37-X36)*12+(Y37-Y36)*6</f>
        <v>2847</v>
      </c>
      <c r="D36" s="45">
        <f>(N37-N36)*8+(O37-O36)*8</f>
        <v>80</v>
      </c>
      <c r="E36" s="45">
        <f>(R37-R36)*1+(S37-S36)*120</f>
        <v>677</v>
      </c>
      <c r="F36" s="45">
        <f>(Z37-Z36)*1</f>
        <v>83</v>
      </c>
      <c r="G36" s="79">
        <f>C36+D36+F36+E36</f>
        <v>3687</v>
      </c>
      <c r="H36" s="77">
        <v>4312</v>
      </c>
      <c r="I36" s="77">
        <v>863</v>
      </c>
      <c r="J36" s="82">
        <f t="shared" si="3"/>
        <v>5175</v>
      </c>
      <c r="K36" s="81">
        <f t="shared" si="6"/>
        <v>1488</v>
      </c>
      <c r="L36" s="43"/>
      <c r="N36" s="52">
        <v>32057</v>
      </c>
      <c r="O36" s="52">
        <v>39745</v>
      </c>
      <c r="P36" s="52"/>
      <c r="Q36" s="52"/>
      <c r="R36" s="52">
        <v>12807</v>
      </c>
      <c r="S36" s="95">
        <v>117.6</v>
      </c>
      <c r="T36" s="95"/>
      <c r="U36" s="95"/>
      <c r="V36" s="52">
        <v>65651</v>
      </c>
      <c r="W36" s="52">
        <v>90362</v>
      </c>
      <c r="X36" s="52">
        <v>51934</v>
      </c>
      <c r="Y36" s="52">
        <v>92778</v>
      </c>
      <c r="Z36" s="52">
        <v>86795</v>
      </c>
    </row>
    <row r="37" spans="1:26" ht="18" hidden="1" customHeight="1" x14ac:dyDescent="0.2">
      <c r="A37" s="46">
        <v>42888</v>
      </c>
      <c r="B37" s="47" t="s">
        <v>100</v>
      </c>
      <c r="C37" s="48">
        <f>(V38-V37)*1+(W38-W37)*32+(X38-X37)*12+(Y38-Y37)*6</f>
        <v>2744</v>
      </c>
      <c r="D37" s="45">
        <f>(N38-N37)*8+(O38-O37)*8</f>
        <v>80</v>
      </c>
      <c r="E37" s="45">
        <f>(R38-R37)*1+(S38-S37)*120</f>
        <v>748.99999999999932</v>
      </c>
      <c r="F37" s="45">
        <f>(Z38-Z37)*1</f>
        <v>69</v>
      </c>
      <c r="G37" s="79">
        <f>C37+D37+F37+E37</f>
        <v>3641.9999999999991</v>
      </c>
      <c r="H37" s="77">
        <v>4311</v>
      </c>
      <c r="I37" s="77">
        <v>861</v>
      </c>
      <c r="J37" s="82">
        <f t="shared" si="3"/>
        <v>5172</v>
      </c>
      <c r="K37" s="81">
        <f t="shared" si="6"/>
        <v>1530.0000000000009</v>
      </c>
      <c r="L37" s="43"/>
      <c r="N37" s="52">
        <v>32067</v>
      </c>
      <c r="O37" s="52">
        <v>39745</v>
      </c>
      <c r="P37" s="52"/>
      <c r="Q37" s="52"/>
      <c r="R37" s="52">
        <v>12824</v>
      </c>
      <c r="S37" s="95">
        <v>123.1</v>
      </c>
      <c r="T37" s="95"/>
      <c r="U37" s="95"/>
      <c r="V37" s="52">
        <v>65910</v>
      </c>
      <c r="W37" s="52">
        <v>90417</v>
      </c>
      <c r="X37" s="52">
        <v>52003</v>
      </c>
      <c r="Y37" s="52">
        <v>92778</v>
      </c>
      <c r="Z37" s="52">
        <v>86878</v>
      </c>
    </row>
    <row r="38" spans="1:26" ht="18" hidden="1" customHeight="1" x14ac:dyDescent="0.2">
      <c r="A38" s="46">
        <v>42889</v>
      </c>
      <c r="B38" s="47" t="s">
        <v>101</v>
      </c>
      <c r="C38" s="48">
        <v>0</v>
      </c>
      <c r="D38" s="45">
        <v>0</v>
      </c>
      <c r="E38" s="45">
        <v>0</v>
      </c>
      <c r="F38" s="45">
        <v>0</v>
      </c>
      <c r="G38" s="79">
        <v>0</v>
      </c>
      <c r="H38" s="77">
        <v>0</v>
      </c>
      <c r="I38" s="77">
        <f>4348+886</f>
        <v>5234</v>
      </c>
      <c r="J38" s="82">
        <f t="shared" si="3"/>
        <v>5234</v>
      </c>
      <c r="K38" s="81">
        <v>0</v>
      </c>
      <c r="L38" s="43"/>
      <c r="N38" s="52">
        <v>32077</v>
      </c>
      <c r="O38" s="52">
        <v>39745</v>
      </c>
      <c r="P38" s="52"/>
      <c r="Q38" s="52"/>
      <c r="R38" s="52">
        <v>12841</v>
      </c>
      <c r="S38" s="95">
        <v>129.19999999999999</v>
      </c>
      <c r="T38" s="95"/>
      <c r="U38" s="95"/>
      <c r="V38" s="52">
        <v>66158</v>
      </c>
      <c r="W38" s="52">
        <v>90468</v>
      </c>
      <c r="X38" s="52">
        <v>52075</v>
      </c>
      <c r="Y38" s="52">
        <v>92778</v>
      </c>
      <c r="Z38" s="52">
        <v>86947</v>
      </c>
    </row>
    <row r="39" spans="1:26" ht="18" hidden="1" customHeight="1" x14ac:dyDescent="0.2">
      <c r="A39" s="46">
        <v>42890</v>
      </c>
      <c r="B39" s="47" t="s">
        <v>95</v>
      </c>
      <c r="C39" s="48">
        <f t="shared" ref="C39:C44" si="7">(V40-V39)*1+(W40-W39)*32+(X40-X39)*12+(Y40-Y39)*6</f>
        <v>3207</v>
      </c>
      <c r="D39" s="45">
        <f t="shared" ref="D39:D44" si="8">(N40-N39)*8+(O40-O39)*8</f>
        <v>80</v>
      </c>
      <c r="E39" s="45">
        <f t="shared" ref="E39:E44" si="9">(R40-R39)*1+(S40-S39)*120</f>
        <v>1699.0000000000014</v>
      </c>
      <c r="F39" s="45">
        <f t="shared" ref="F39:F44" si="10">(Z40-Z39)*1</f>
        <v>149</v>
      </c>
      <c r="G39" s="79">
        <f t="shared" ref="G39:G44" si="11">C39+D39+F39+E39</f>
        <v>5135.0000000000018</v>
      </c>
      <c r="H39" s="77">
        <v>0</v>
      </c>
      <c r="I39" s="77">
        <v>2733</v>
      </c>
      <c r="J39" s="82">
        <f t="shared" si="3"/>
        <v>2733</v>
      </c>
      <c r="K39" s="81">
        <f>J38+J39-G39</f>
        <v>2831.9999999999982</v>
      </c>
      <c r="L39" s="43"/>
      <c r="N39" s="55">
        <v>32077</v>
      </c>
      <c r="O39" s="55">
        <v>39745</v>
      </c>
      <c r="P39" s="55"/>
      <c r="Q39" s="55"/>
      <c r="R39" s="55">
        <v>12841</v>
      </c>
      <c r="S39" s="96">
        <v>129.19999999999999</v>
      </c>
      <c r="T39" s="96"/>
      <c r="U39" s="96"/>
      <c r="V39" s="55">
        <v>66158</v>
      </c>
      <c r="W39" s="55">
        <v>90468</v>
      </c>
      <c r="X39" s="55">
        <v>52075</v>
      </c>
      <c r="Y39" s="55">
        <v>92778</v>
      </c>
      <c r="Z39" s="55">
        <v>86947</v>
      </c>
    </row>
    <row r="40" spans="1:26" ht="18" hidden="1" customHeight="1" x14ac:dyDescent="0.2">
      <c r="A40" s="46">
        <v>42891</v>
      </c>
      <c r="B40" s="47" t="s">
        <v>96</v>
      </c>
      <c r="C40" s="48">
        <f t="shared" si="7"/>
        <v>2976</v>
      </c>
      <c r="D40" s="45">
        <f t="shared" si="8"/>
        <v>80</v>
      </c>
      <c r="E40" s="45">
        <f t="shared" si="9"/>
        <v>918</v>
      </c>
      <c r="F40" s="45">
        <f t="shared" si="10"/>
        <v>78</v>
      </c>
      <c r="G40" s="79">
        <f t="shared" si="11"/>
        <v>4052</v>
      </c>
      <c r="H40" s="77">
        <v>4699</v>
      </c>
      <c r="I40" s="77">
        <v>915</v>
      </c>
      <c r="J40" s="82">
        <f t="shared" si="3"/>
        <v>5614</v>
      </c>
      <c r="K40" s="81">
        <f>J40-G40</f>
        <v>1562</v>
      </c>
      <c r="L40" s="43"/>
      <c r="N40" s="52">
        <v>32087</v>
      </c>
      <c r="O40" s="52">
        <v>39745</v>
      </c>
      <c r="P40" s="52"/>
      <c r="Q40" s="52"/>
      <c r="R40" s="52">
        <v>12884</v>
      </c>
      <c r="S40" s="95">
        <v>143</v>
      </c>
      <c r="T40" s="95"/>
      <c r="U40" s="95"/>
      <c r="V40" s="52">
        <v>66589</v>
      </c>
      <c r="W40" s="52">
        <v>90530</v>
      </c>
      <c r="X40" s="52">
        <v>52141</v>
      </c>
      <c r="Y40" s="52">
        <v>92778</v>
      </c>
      <c r="Z40" s="52">
        <v>87096</v>
      </c>
    </row>
    <row r="41" spans="1:26" ht="18" hidden="1" customHeight="1" x14ac:dyDescent="0.2">
      <c r="A41" s="46">
        <v>42892</v>
      </c>
      <c r="B41" s="47" t="s">
        <v>97</v>
      </c>
      <c r="C41" s="48">
        <f t="shared" si="7"/>
        <v>3025</v>
      </c>
      <c r="D41" s="45">
        <f t="shared" si="8"/>
        <v>80</v>
      </c>
      <c r="E41" s="45">
        <f t="shared" si="9"/>
        <v>807.99999999999932</v>
      </c>
      <c r="F41" s="45">
        <f t="shared" si="10"/>
        <v>84</v>
      </c>
      <c r="G41" s="79">
        <f t="shared" si="11"/>
        <v>3996.9999999999991</v>
      </c>
      <c r="H41" s="77">
        <v>4757</v>
      </c>
      <c r="I41" s="77">
        <v>1053</v>
      </c>
      <c r="J41" s="82">
        <f t="shared" si="3"/>
        <v>5810</v>
      </c>
      <c r="K41" s="81">
        <f>J41-G41</f>
        <v>1813.0000000000009</v>
      </c>
      <c r="L41" s="43"/>
      <c r="N41" s="52">
        <v>32097</v>
      </c>
      <c r="O41" s="52">
        <v>39745</v>
      </c>
      <c r="P41" s="52"/>
      <c r="Q41" s="52"/>
      <c r="R41" s="52">
        <v>12902</v>
      </c>
      <c r="S41" s="95">
        <v>150.5</v>
      </c>
      <c r="T41" s="95"/>
      <c r="U41" s="95"/>
      <c r="V41" s="52">
        <v>66865</v>
      </c>
      <c r="W41" s="52">
        <v>90587</v>
      </c>
      <c r="X41" s="52">
        <v>52214</v>
      </c>
      <c r="Y41" s="52">
        <v>92778</v>
      </c>
      <c r="Z41" s="52">
        <v>87174</v>
      </c>
    </row>
    <row r="42" spans="1:26" ht="18" hidden="1" customHeight="1" x14ac:dyDescent="0.2">
      <c r="A42" s="46">
        <v>42893</v>
      </c>
      <c r="B42" s="47" t="s">
        <v>98</v>
      </c>
      <c r="C42" s="48">
        <f t="shared" si="7"/>
        <v>2947</v>
      </c>
      <c r="D42" s="45">
        <f t="shared" si="8"/>
        <v>80</v>
      </c>
      <c r="E42" s="45">
        <f t="shared" si="9"/>
        <v>760.00000000000205</v>
      </c>
      <c r="F42" s="45">
        <f t="shared" si="10"/>
        <v>98</v>
      </c>
      <c r="G42" s="79">
        <f t="shared" si="11"/>
        <v>3885.0000000000018</v>
      </c>
      <c r="H42" s="77">
        <v>4681</v>
      </c>
      <c r="I42" s="77">
        <v>992</v>
      </c>
      <c r="J42" s="82">
        <f t="shared" si="3"/>
        <v>5673</v>
      </c>
      <c r="K42" s="81">
        <f>J42-G42</f>
        <v>1787.9999999999982</v>
      </c>
      <c r="L42" s="43"/>
      <c r="N42" s="76">
        <v>32107</v>
      </c>
      <c r="O42" s="52">
        <v>39745</v>
      </c>
      <c r="P42" s="52"/>
      <c r="Q42" s="52"/>
      <c r="R42" s="52">
        <v>12918</v>
      </c>
      <c r="S42" s="95">
        <v>157.1</v>
      </c>
      <c r="T42" s="95"/>
      <c r="U42" s="95"/>
      <c r="V42" s="52">
        <v>67158</v>
      </c>
      <c r="W42" s="52">
        <v>90645</v>
      </c>
      <c r="X42" s="52">
        <v>52287</v>
      </c>
      <c r="Y42" s="52">
        <v>92778</v>
      </c>
      <c r="Z42" s="52">
        <v>87258</v>
      </c>
    </row>
    <row r="43" spans="1:26" ht="18" hidden="1" customHeight="1" x14ac:dyDescent="0.2">
      <c r="A43" s="46">
        <v>42894</v>
      </c>
      <c r="B43" s="47" t="s">
        <v>99</v>
      </c>
      <c r="C43" s="48">
        <f t="shared" si="7"/>
        <v>2874</v>
      </c>
      <c r="D43" s="45">
        <f t="shared" si="8"/>
        <v>0</v>
      </c>
      <c r="E43" s="45">
        <f t="shared" si="9"/>
        <v>782.99999999999727</v>
      </c>
      <c r="F43" s="45">
        <f t="shared" si="10"/>
        <v>98</v>
      </c>
      <c r="G43" s="79">
        <f t="shared" si="11"/>
        <v>3754.9999999999973</v>
      </c>
      <c r="H43" s="77">
        <v>4600</v>
      </c>
      <c r="I43" s="77">
        <v>987</v>
      </c>
      <c r="J43" s="82">
        <f t="shared" si="3"/>
        <v>5587</v>
      </c>
      <c r="K43" s="81">
        <f t="shared" ref="K43:K50" si="12">J43-G43</f>
        <v>1832.0000000000027</v>
      </c>
      <c r="L43" s="43"/>
      <c r="N43" s="76">
        <v>32117</v>
      </c>
      <c r="O43" s="52">
        <v>39745</v>
      </c>
      <c r="P43" s="52"/>
      <c r="Q43" s="52"/>
      <c r="R43" s="52">
        <v>12934</v>
      </c>
      <c r="S43" s="95">
        <v>163.30000000000001</v>
      </c>
      <c r="T43" s="95"/>
      <c r="U43" s="95"/>
      <c r="V43" s="52">
        <v>67457</v>
      </c>
      <c r="W43" s="52">
        <v>90703</v>
      </c>
      <c r="X43" s="52">
        <v>52353</v>
      </c>
      <c r="Y43" s="52">
        <v>92778</v>
      </c>
      <c r="Z43" s="52">
        <v>87356</v>
      </c>
    </row>
    <row r="44" spans="1:26" ht="18" hidden="1" customHeight="1" x14ac:dyDescent="0.2">
      <c r="A44" s="46">
        <v>42895</v>
      </c>
      <c r="B44" s="47" t="s">
        <v>100</v>
      </c>
      <c r="C44" s="48">
        <f t="shared" si="7"/>
        <v>2866</v>
      </c>
      <c r="D44" s="45">
        <f t="shared" si="8"/>
        <v>80</v>
      </c>
      <c r="E44" s="45">
        <f t="shared" si="9"/>
        <v>856</v>
      </c>
      <c r="F44" s="45">
        <f t="shared" si="10"/>
        <v>105</v>
      </c>
      <c r="G44" s="79">
        <f t="shared" si="11"/>
        <v>3907</v>
      </c>
      <c r="H44" s="77">
        <v>4182</v>
      </c>
      <c r="I44" s="77">
        <v>764</v>
      </c>
      <c r="J44" s="82">
        <f t="shared" si="3"/>
        <v>4946</v>
      </c>
      <c r="K44" s="81">
        <f t="shared" si="12"/>
        <v>1039</v>
      </c>
      <c r="L44" s="43"/>
      <c r="N44" s="52">
        <v>32117</v>
      </c>
      <c r="O44" s="52">
        <v>39745</v>
      </c>
      <c r="P44" s="52"/>
      <c r="Q44" s="52"/>
      <c r="R44" s="52">
        <v>12949</v>
      </c>
      <c r="S44" s="95">
        <v>169.7</v>
      </c>
      <c r="T44" s="95"/>
      <c r="U44" s="95"/>
      <c r="V44" s="52">
        <v>67727</v>
      </c>
      <c r="W44" s="52">
        <v>90757</v>
      </c>
      <c r="X44" s="52">
        <v>52426</v>
      </c>
      <c r="Y44" s="52">
        <v>92778</v>
      </c>
      <c r="Z44" s="52">
        <v>87454</v>
      </c>
    </row>
    <row r="45" spans="1:26" ht="18" hidden="1" customHeight="1" x14ac:dyDescent="0.2">
      <c r="A45" s="46">
        <v>42896</v>
      </c>
      <c r="B45" s="47" t="s">
        <v>101</v>
      </c>
      <c r="C45" s="48">
        <v>0</v>
      </c>
      <c r="D45" s="45">
        <v>0</v>
      </c>
      <c r="E45" s="45">
        <v>0</v>
      </c>
      <c r="F45" s="45">
        <v>0</v>
      </c>
      <c r="G45" s="79">
        <v>0</v>
      </c>
      <c r="H45" s="77">
        <v>0</v>
      </c>
      <c r="I45" s="77">
        <v>4799</v>
      </c>
      <c r="J45" s="82">
        <f t="shared" si="3"/>
        <v>4799</v>
      </c>
      <c r="K45" s="81">
        <v>0</v>
      </c>
      <c r="L45" s="43"/>
      <c r="N45" s="52">
        <v>32127</v>
      </c>
      <c r="O45" s="52">
        <v>39745</v>
      </c>
      <c r="P45" s="52"/>
      <c r="Q45" s="52"/>
      <c r="R45" s="52">
        <v>12965</v>
      </c>
      <c r="S45" s="95">
        <v>176.7</v>
      </c>
      <c r="T45" s="95"/>
      <c r="U45" s="95"/>
      <c r="V45" s="52">
        <v>68013</v>
      </c>
      <c r="W45" s="52">
        <v>90814</v>
      </c>
      <c r="X45" s="52">
        <v>52489</v>
      </c>
      <c r="Y45" s="52">
        <v>92778</v>
      </c>
      <c r="Z45" s="52">
        <v>87559</v>
      </c>
    </row>
    <row r="46" spans="1:26" ht="18" hidden="1" customHeight="1" x14ac:dyDescent="0.2">
      <c r="A46" s="46">
        <v>42897</v>
      </c>
      <c r="B46" s="47" t="s">
        <v>95</v>
      </c>
      <c r="C46" s="48">
        <f>(V47-V46)*1+(W47-W46)*32+(X47-X46)*12+(Y47-Y46)*6</f>
        <v>2929</v>
      </c>
      <c r="D46" s="45">
        <f>(N47-N46)*8+(O47-O46)*8</f>
        <v>80</v>
      </c>
      <c r="E46" s="45">
        <f>(R47-R46)*1+(S47-S46)*120</f>
        <v>1722.0000000000027</v>
      </c>
      <c r="F46" s="45">
        <f>(Z47-Z46)*1</f>
        <v>205</v>
      </c>
      <c r="G46" s="79">
        <f>C46+D46+F46+E46</f>
        <v>4936.0000000000027</v>
      </c>
      <c r="H46" s="77">
        <v>0</v>
      </c>
      <c r="I46" s="77">
        <v>2841</v>
      </c>
      <c r="J46" s="82">
        <f t="shared" si="3"/>
        <v>2841</v>
      </c>
      <c r="K46" s="81">
        <f>J45+J46-G46</f>
        <v>2703.9999999999973</v>
      </c>
      <c r="L46" s="43"/>
      <c r="N46" s="55">
        <v>32127</v>
      </c>
      <c r="O46" s="55">
        <v>39745</v>
      </c>
      <c r="P46" s="55"/>
      <c r="Q46" s="55"/>
      <c r="R46" s="55">
        <v>12965</v>
      </c>
      <c r="S46" s="96">
        <v>176.7</v>
      </c>
      <c r="T46" s="96"/>
      <c r="U46" s="96"/>
      <c r="V46" s="55">
        <v>68013</v>
      </c>
      <c r="W46" s="55">
        <v>90814</v>
      </c>
      <c r="X46" s="55">
        <v>52489</v>
      </c>
      <c r="Y46" s="55">
        <v>92778</v>
      </c>
      <c r="Z46" s="55">
        <v>87559</v>
      </c>
    </row>
    <row r="47" spans="1:26" ht="18" hidden="1" customHeight="1" x14ac:dyDescent="0.2">
      <c r="A47" s="46">
        <v>42898</v>
      </c>
      <c r="B47" s="47" t="s">
        <v>96</v>
      </c>
      <c r="C47" s="48">
        <f>(V48-V47)*1+(W48-W47)*32+(X48-X47)*12+(Y48-Y47)*6</f>
        <v>2757</v>
      </c>
      <c r="D47" s="45">
        <f>(N48-N47)*8+(O48-O47)*8</f>
        <v>80</v>
      </c>
      <c r="E47" s="45">
        <f>(R48-R47)*1+(S48-S47)*120</f>
        <v>881.99999999999864</v>
      </c>
      <c r="F47" s="45">
        <f>(Z48-Z47)*1</f>
        <v>93</v>
      </c>
      <c r="G47" s="79">
        <f>C47+D47+F47+E47</f>
        <v>3811.9999999999986</v>
      </c>
      <c r="H47" s="77">
        <v>4625</v>
      </c>
      <c r="I47" s="77">
        <v>975</v>
      </c>
      <c r="J47" s="82">
        <f t="shared" si="3"/>
        <v>5600</v>
      </c>
      <c r="K47" s="81">
        <f t="shared" si="12"/>
        <v>1788.0000000000014</v>
      </c>
      <c r="L47" s="43"/>
      <c r="N47" s="52">
        <v>32137</v>
      </c>
      <c r="O47" s="52">
        <v>39745</v>
      </c>
      <c r="P47" s="52"/>
      <c r="Q47" s="52"/>
      <c r="R47" s="52">
        <v>12995</v>
      </c>
      <c r="S47" s="95">
        <v>190.8</v>
      </c>
      <c r="T47" s="95"/>
      <c r="U47" s="95"/>
      <c r="V47" s="52">
        <v>68450</v>
      </c>
      <c r="W47" s="52">
        <v>90872</v>
      </c>
      <c r="X47" s="52">
        <v>52542</v>
      </c>
      <c r="Y47" s="52">
        <v>92778</v>
      </c>
      <c r="Z47" s="52">
        <v>87764</v>
      </c>
    </row>
    <row r="48" spans="1:26" ht="18" hidden="1" customHeight="1" x14ac:dyDescent="0.2">
      <c r="A48" s="46">
        <v>42899</v>
      </c>
      <c r="B48" s="47" t="s">
        <v>97</v>
      </c>
      <c r="C48" s="48">
        <f>(V49-V48)*1+(W49-W48)*32+(X49-X48)*12+(Y49-Y48)*6</f>
        <v>2855</v>
      </c>
      <c r="D48" s="45">
        <f>(N49-N48)*8+(O49-O48)*8</f>
        <v>80</v>
      </c>
      <c r="E48" s="45">
        <f>(R49-R48)*1+(S49-S48)*120</f>
        <v>807.99999999999932</v>
      </c>
      <c r="F48" s="45">
        <f>(Z49-Z48)*1</f>
        <v>99</v>
      </c>
      <c r="G48" s="79">
        <f>C48+D48+F48+E48</f>
        <v>3841.9999999999991</v>
      </c>
      <c r="H48" s="77">
        <v>4612</v>
      </c>
      <c r="I48" s="77">
        <v>1009</v>
      </c>
      <c r="J48" s="82">
        <f t="shared" si="3"/>
        <v>5621</v>
      </c>
      <c r="K48" s="81">
        <f t="shared" si="12"/>
        <v>1779.0000000000009</v>
      </c>
      <c r="L48" s="43"/>
      <c r="N48" s="52">
        <v>32147</v>
      </c>
      <c r="O48" s="52">
        <v>39745</v>
      </c>
      <c r="P48" s="52"/>
      <c r="Q48" s="52"/>
      <c r="R48" s="52">
        <v>13013</v>
      </c>
      <c r="S48" s="95">
        <v>198</v>
      </c>
      <c r="T48" s="95"/>
      <c r="U48" s="95"/>
      <c r="V48" s="52">
        <v>68727</v>
      </c>
      <c r="W48" s="52">
        <v>90924</v>
      </c>
      <c r="X48" s="52">
        <v>52610</v>
      </c>
      <c r="Y48" s="52">
        <v>92778</v>
      </c>
      <c r="Z48" s="52">
        <v>87857</v>
      </c>
    </row>
    <row r="49" spans="1:26" ht="18" hidden="1" customHeight="1" x14ac:dyDescent="0.2">
      <c r="A49" s="46">
        <v>42900</v>
      </c>
      <c r="B49" s="47" t="s">
        <v>98</v>
      </c>
      <c r="C49" s="48">
        <f>(V50-V49)*1+(W50-W49)*32+(X50-X49)*12+(Y50-Y49)*6</f>
        <v>2693</v>
      </c>
      <c r="D49" s="45">
        <f>(N50-N49)*8+(O50-O49)*8</f>
        <v>80</v>
      </c>
      <c r="E49" s="45">
        <f>(R50-R49)*1+(S50-S49)*120</f>
        <v>675</v>
      </c>
      <c r="F49" s="45">
        <f>(Z50-Z49)*1</f>
        <v>82</v>
      </c>
      <c r="G49" s="79">
        <f>C49+D49+F49+E49</f>
        <v>3530</v>
      </c>
      <c r="H49" s="77">
        <v>4501</v>
      </c>
      <c r="I49" s="77">
        <v>1009</v>
      </c>
      <c r="J49" s="80">
        <f t="shared" si="3"/>
        <v>5510</v>
      </c>
      <c r="K49" s="81">
        <f t="shared" si="12"/>
        <v>1980</v>
      </c>
      <c r="L49" s="43"/>
      <c r="N49" s="52">
        <v>32157</v>
      </c>
      <c r="O49" s="52">
        <v>39745</v>
      </c>
      <c r="P49" s="52"/>
      <c r="Q49" s="52"/>
      <c r="R49" s="52">
        <v>13029</v>
      </c>
      <c r="S49" s="95">
        <v>204.6</v>
      </c>
      <c r="T49" s="95"/>
      <c r="U49" s="95"/>
      <c r="V49" s="52">
        <v>69014</v>
      </c>
      <c r="W49" s="52">
        <v>90978</v>
      </c>
      <c r="X49" s="52">
        <v>52680</v>
      </c>
      <c r="Y49" s="52">
        <v>92778</v>
      </c>
      <c r="Z49" s="52">
        <v>87956</v>
      </c>
    </row>
    <row r="50" spans="1:26" ht="18" hidden="1" customHeight="1" x14ac:dyDescent="0.2">
      <c r="A50" s="46">
        <v>42901</v>
      </c>
      <c r="B50" s="47" t="s">
        <v>99</v>
      </c>
      <c r="C50" s="48">
        <f>(V51-V50)*1+(W51-W50)*32+(X51-X50)*12+(Y51-Y50)*6</f>
        <v>2574</v>
      </c>
      <c r="D50" s="45">
        <f>(N51-N50)*8+(O51-O50)*8</f>
        <v>80</v>
      </c>
      <c r="E50" s="45">
        <f>(R51-R50)*1+(S51-S50)*120</f>
        <v>723.00000000000068</v>
      </c>
      <c r="F50" s="45">
        <f>(Z51-Z50)*1</f>
        <v>71</v>
      </c>
      <c r="G50" s="79">
        <f>C50+D50+F50+E50</f>
        <v>3448.0000000000009</v>
      </c>
      <c r="H50" s="77">
        <v>4255</v>
      </c>
      <c r="I50" s="77">
        <v>982</v>
      </c>
      <c r="J50" s="80">
        <f t="shared" si="3"/>
        <v>5237</v>
      </c>
      <c r="K50" s="81">
        <f t="shared" si="12"/>
        <v>1788.9999999999991</v>
      </c>
      <c r="L50" s="43"/>
      <c r="N50" s="52">
        <v>32167</v>
      </c>
      <c r="O50" s="52">
        <v>39745</v>
      </c>
      <c r="P50" s="52"/>
      <c r="Q50" s="52"/>
      <c r="R50" s="52">
        <v>13044</v>
      </c>
      <c r="S50" s="95">
        <v>210.1</v>
      </c>
      <c r="T50" s="95"/>
      <c r="U50" s="95"/>
      <c r="V50" s="52">
        <v>69267</v>
      </c>
      <c r="W50" s="52">
        <v>91028</v>
      </c>
      <c r="X50" s="52">
        <f>X49+70</f>
        <v>52750</v>
      </c>
      <c r="Y50" s="52">
        <v>92778</v>
      </c>
      <c r="Z50" s="52">
        <v>88038</v>
      </c>
    </row>
    <row r="51" spans="1:26" ht="18" hidden="1" customHeight="1" x14ac:dyDescent="0.2">
      <c r="A51" s="46">
        <v>42902</v>
      </c>
      <c r="B51" s="47" t="s">
        <v>100</v>
      </c>
      <c r="C51" s="48">
        <v>0</v>
      </c>
      <c r="D51" s="45">
        <v>0</v>
      </c>
      <c r="E51" s="45">
        <v>0</v>
      </c>
      <c r="F51" s="45">
        <v>0</v>
      </c>
      <c r="G51" s="79">
        <v>0</v>
      </c>
      <c r="H51" s="77">
        <v>3997</v>
      </c>
      <c r="I51" s="77">
        <v>856</v>
      </c>
      <c r="J51" s="80">
        <f t="shared" si="3"/>
        <v>4853</v>
      </c>
      <c r="K51" s="81">
        <v>0</v>
      </c>
      <c r="L51" s="43"/>
      <c r="N51" s="52">
        <v>32177</v>
      </c>
      <c r="O51" s="52">
        <v>39745</v>
      </c>
      <c r="P51" s="52"/>
      <c r="Q51" s="52"/>
      <c r="R51" s="52">
        <v>13059</v>
      </c>
      <c r="S51" s="95">
        <v>216</v>
      </c>
      <c r="T51" s="95"/>
      <c r="U51" s="95"/>
      <c r="V51" s="52">
        <v>69477</v>
      </c>
      <c r="W51" s="52">
        <v>91070</v>
      </c>
      <c r="X51" s="52">
        <v>52835</v>
      </c>
      <c r="Y51" s="52">
        <v>92778</v>
      </c>
      <c r="Z51" s="52">
        <v>88109</v>
      </c>
    </row>
    <row r="52" spans="1:26" ht="18" hidden="1" customHeight="1" x14ac:dyDescent="0.2">
      <c r="A52" s="46">
        <v>42903</v>
      </c>
      <c r="B52" s="56" t="s">
        <v>103</v>
      </c>
      <c r="C52" s="48">
        <v>0</v>
      </c>
      <c r="D52" s="45">
        <v>0</v>
      </c>
      <c r="E52" s="45">
        <v>0</v>
      </c>
      <c r="F52" s="45">
        <v>0</v>
      </c>
      <c r="G52" s="79">
        <v>0</v>
      </c>
      <c r="H52" s="77">
        <v>0</v>
      </c>
      <c r="I52" s="77">
        <f>2720+605</f>
        <v>3325</v>
      </c>
      <c r="J52" s="80">
        <f t="shared" si="3"/>
        <v>3325</v>
      </c>
      <c r="K52" s="81">
        <v>0</v>
      </c>
      <c r="L52" s="43"/>
      <c r="N52" s="55">
        <v>32177</v>
      </c>
      <c r="O52" s="55">
        <v>39745</v>
      </c>
      <c r="P52" s="55"/>
      <c r="Q52" s="55"/>
      <c r="R52" s="55">
        <v>13059</v>
      </c>
      <c r="S52" s="96">
        <v>216</v>
      </c>
      <c r="T52" s="96"/>
      <c r="U52" s="96"/>
      <c r="V52" s="55">
        <v>69477</v>
      </c>
      <c r="W52" s="55">
        <v>91070</v>
      </c>
      <c r="X52" s="55">
        <v>52835</v>
      </c>
      <c r="Y52" s="55">
        <v>92778</v>
      </c>
      <c r="Z52" s="55">
        <v>88109</v>
      </c>
    </row>
    <row r="53" spans="1:26" ht="18" hidden="1" customHeight="1" x14ac:dyDescent="0.2">
      <c r="A53" s="46">
        <v>42904</v>
      </c>
      <c r="B53" s="56" t="s">
        <v>104</v>
      </c>
      <c r="C53" s="48">
        <f>(V54-V53)*1+(W54-W53)*32+(X54-X53)*12+(Y54-Y53)*6</f>
        <v>4424</v>
      </c>
      <c r="D53" s="45">
        <f>(N54-N53)*8+(O54-O53)*8</f>
        <v>80</v>
      </c>
      <c r="E53" s="45">
        <f>(R54-R53)*1+(S54-S53)*120</f>
        <v>2468.9999999999986</v>
      </c>
      <c r="F53" s="45">
        <f>(Z54-Z53)*1</f>
        <v>208</v>
      </c>
      <c r="G53" s="79">
        <f>C53+D53+F53+E53</f>
        <v>7180.9999999999982</v>
      </c>
      <c r="H53" s="77">
        <v>0</v>
      </c>
      <c r="I53" s="77">
        <v>2141</v>
      </c>
      <c r="J53" s="80">
        <f t="shared" si="3"/>
        <v>2141</v>
      </c>
      <c r="K53" s="81">
        <f>J51+J52+J53-G53</f>
        <v>3138.0000000000018</v>
      </c>
      <c r="L53" s="43"/>
      <c r="N53" s="55">
        <v>32177</v>
      </c>
      <c r="O53" s="55">
        <v>39745</v>
      </c>
      <c r="P53" s="55"/>
      <c r="Q53" s="55"/>
      <c r="R53" s="55">
        <v>13059</v>
      </c>
      <c r="S53" s="96">
        <v>216</v>
      </c>
      <c r="T53" s="96"/>
      <c r="U53" s="96"/>
      <c r="V53" s="55">
        <v>69477</v>
      </c>
      <c r="W53" s="55">
        <v>91070</v>
      </c>
      <c r="X53" s="55">
        <v>52835</v>
      </c>
      <c r="Y53" s="55">
        <v>92778</v>
      </c>
      <c r="Z53" s="55">
        <v>88109</v>
      </c>
    </row>
    <row r="54" spans="1:26" ht="18" hidden="1" customHeight="1" x14ac:dyDescent="0.2">
      <c r="A54" s="46">
        <v>42905</v>
      </c>
      <c r="B54" s="47" t="s">
        <v>96</v>
      </c>
      <c r="C54" s="48">
        <f>(V55-V54)*1+(W55-W54)*32+(X55-X54)*12+(Y55-Y54)*6</f>
        <v>2578</v>
      </c>
      <c r="D54" s="45">
        <f>(N55-N54)*8+(O55-O54)*8</f>
        <v>800</v>
      </c>
      <c r="E54" s="45">
        <f>(R55-R54)*1+(S55-S54)*120</f>
        <v>906.00000000000068</v>
      </c>
      <c r="F54" s="45">
        <f>(Z55-Z54)*1</f>
        <v>74</v>
      </c>
      <c r="G54" s="79">
        <f>C54+D54+F54+E54</f>
        <v>4358.0000000000009</v>
      </c>
      <c r="H54" s="77">
        <v>4275</v>
      </c>
      <c r="I54" s="77">
        <v>636</v>
      </c>
      <c r="J54" s="80">
        <f t="shared" si="3"/>
        <v>4911</v>
      </c>
      <c r="K54" s="81">
        <f>J54-G54</f>
        <v>552.99999999999909</v>
      </c>
      <c r="L54" s="43"/>
      <c r="N54" s="52">
        <v>32187</v>
      </c>
      <c r="O54" s="52">
        <v>39745</v>
      </c>
      <c r="P54" s="52"/>
      <c r="Q54" s="52"/>
      <c r="R54" s="52">
        <v>13104</v>
      </c>
      <c r="S54" s="95">
        <v>236.2</v>
      </c>
      <c r="T54" s="95"/>
      <c r="U54" s="95"/>
      <c r="V54" s="52">
        <v>70005</v>
      </c>
      <c r="W54" s="52">
        <v>91149</v>
      </c>
      <c r="X54" s="52">
        <v>52949</v>
      </c>
      <c r="Y54" s="52">
        <v>92778</v>
      </c>
      <c r="Z54" s="52">
        <v>88317</v>
      </c>
    </row>
    <row r="55" spans="1:26" ht="18" hidden="1" customHeight="1" x14ac:dyDescent="0.2">
      <c r="A55" s="46">
        <v>42906</v>
      </c>
      <c r="B55" s="47" t="s">
        <v>97</v>
      </c>
      <c r="C55" s="48">
        <f>(V56-V55)*1+(W56-W55)*32+(X56-X55)*12+(Y56-Y55)*6</f>
        <v>2588</v>
      </c>
      <c r="D55" s="45">
        <f>(N56-N55)*8+(O56-O55)*8</f>
        <v>880</v>
      </c>
      <c r="E55" s="45">
        <f>(R56-R55)*1+(S56-S55)*120</f>
        <v>757.00000000000205</v>
      </c>
      <c r="F55" s="45">
        <f>(Z56-Z55)*1</f>
        <v>84</v>
      </c>
      <c r="G55" s="79">
        <f>C55+D55+F55+E55</f>
        <v>4309.0000000000018</v>
      </c>
      <c r="H55" s="77">
        <v>4143</v>
      </c>
      <c r="I55" s="77">
        <v>869</v>
      </c>
      <c r="J55" s="80">
        <f t="shared" si="3"/>
        <v>5012</v>
      </c>
      <c r="K55" s="81">
        <f>J55-G55</f>
        <v>702.99999999999818</v>
      </c>
      <c r="L55" s="43"/>
      <c r="N55" s="52">
        <v>32287</v>
      </c>
      <c r="O55" s="52">
        <v>39745</v>
      </c>
      <c r="P55" s="52"/>
      <c r="Q55" s="52"/>
      <c r="R55" s="52">
        <v>13122</v>
      </c>
      <c r="S55" s="95">
        <v>243.6</v>
      </c>
      <c r="T55" s="95"/>
      <c r="U55" s="95"/>
      <c r="V55" s="52">
        <v>70231</v>
      </c>
      <c r="W55" s="52">
        <v>91197</v>
      </c>
      <c r="X55" s="52">
        <v>53017</v>
      </c>
      <c r="Y55" s="52">
        <v>92778</v>
      </c>
      <c r="Z55" s="52">
        <v>88391</v>
      </c>
    </row>
    <row r="56" spans="1:26" ht="18" hidden="1" customHeight="1" x14ac:dyDescent="0.2">
      <c r="A56" s="46">
        <v>42907</v>
      </c>
      <c r="B56" s="47" t="s">
        <v>98</v>
      </c>
      <c r="C56" s="48">
        <f>(V57-V56)*1+(W57-W56)*32+(X57-X56)*12+(Y57-Y56)*6</f>
        <v>2738</v>
      </c>
      <c r="D56" s="45">
        <f>(N57-N56)*8+(O57-O56)*8+(P57-P56)*8</f>
        <v>1032</v>
      </c>
      <c r="E56" s="45">
        <f>(R57-R56)*1+(S57-S56)*120</f>
        <v>722.99999999999727</v>
      </c>
      <c r="F56" s="45">
        <f>(Z57-Z56)*1</f>
        <v>68</v>
      </c>
      <c r="G56" s="79">
        <f>C56+D56+F56+E56</f>
        <v>4560.9999999999973</v>
      </c>
      <c r="H56" s="77">
        <v>4186</v>
      </c>
      <c r="I56" s="77">
        <v>872</v>
      </c>
      <c r="J56" s="80">
        <f t="shared" si="3"/>
        <v>5058</v>
      </c>
      <c r="K56" s="81">
        <f>J56-G56</f>
        <v>497.00000000000273</v>
      </c>
      <c r="L56" s="43"/>
      <c r="N56" s="52">
        <v>32397</v>
      </c>
      <c r="O56" s="52">
        <v>39745</v>
      </c>
      <c r="P56" s="97">
        <v>12</v>
      </c>
      <c r="Q56" s="97"/>
      <c r="R56" s="52">
        <v>13135</v>
      </c>
      <c r="S56" s="95">
        <v>249.8</v>
      </c>
      <c r="T56" s="95"/>
      <c r="U56" s="95"/>
      <c r="V56" s="52">
        <v>70455</v>
      </c>
      <c r="W56" s="52">
        <v>91248</v>
      </c>
      <c r="X56" s="52">
        <v>53078</v>
      </c>
      <c r="Y56" s="52">
        <v>92778</v>
      </c>
      <c r="Z56" s="52">
        <v>88475</v>
      </c>
    </row>
    <row r="57" spans="1:26" ht="18" hidden="1" customHeight="1" x14ac:dyDescent="0.2">
      <c r="A57" s="46">
        <v>42908</v>
      </c>
      <c r="B57" s="47" t="s">
        <v>99</v>
      </c>
      <c r="C57" s="48">
        <f>(V58-V57)*1+(W58-W57)*32+(X58-X57)*12+(Y58-Y57)*6</f>
        <v>2986</v>
      </c>
      <c r="D57" s="45">
        <f>(N58-N57)*8+(O58-O57)*8+(P58-P57)*8</f>
        <v>1064</v>
      </c>
      <c r="E57" s="45">
        <f>(R58-R57)*1+(S58-S57)*120</f>
        <v>748.00000000000273</v>
      </c>
      <c r="F57" s="45">
        <f>(Z58-Z57)*1</f>
        <v>85</v>
      </c>
      <c r="G57" s="79">
        <f>C57+D57+F57+E57</f>
        <v>4883.0000000000027</v>
      </c>
      <c r="H57" s="77">
        <v>4501</v>
      </c>
      <c r="I57" s="77">
        <v>853</v>
      </c>
      <c r="J57" s="80">
        <f t="shared" si="3"/>
        <v>5354</v>
      </c>
      <c r="K57" s="81">
        <f t="shared" ref="K57:K64" si="13">J57-G57</f>
        <v>470.99999999999727</v>
      </c>
      <c r="L57" s="43"/>
      <c r="N57" s="52">
        <v>32517</v>
      </c>
      <c r="O57" s="52">
        <v>39745</v>
      </c>
      <c r="P57" s="52">
        <f>P56+9</f>
        <v>21</v>
      </c>
      <c r="Q57" s="52"/>
      <c r="R57" s="52">
        <v>13150</v>
      </c>
      <c r="S57" s="95">
        <v>255.7</v>
      </c>
      <c r="T57" s="95"/>
      <c r="U57" s="95"/>
      <c r="V57" s="52">
        <v>70697</v>
      </c>
      <c r="W57" s="52">
        <v>91302</v>
      </c>
      <c r="X57" s="52">
        <v>53142</v>
      </c>
      <c r="Y57" s="52">
        <v>92778</v>
      </c>
      <c r="Z57" s="52">
        <v>88543</v>
      </c>
    </row>
    <row r="58" spans="1:26" ht="18" hidden="1" customHeight="1" x14ac:dyDescent="0.2">
      <c r="A58" s="46">
        <v>42909</v>
      </c>
      <c r="B58" s="47" t="s">
        <v>100</v>
      </c>
      <c r="C58" s="48">
        <v>0</v>
      </c>
      <c r="D58" s="45">
        <v>0</v>
      </c>
      <c r="E58" s="45">
        <v>0</v>
      </c>
      <c r="F58" s="45">
        <v>0</v>
      </c>
      <c r="G58" s="79">
        <v>0</v>
      </c>
      <c r="H58" s="77">
        <v>4454</v>
      </c>
      <c r="I58" s="77">
        <v>807</v>
      </c>
      <c r="J58" s="80">
        <f t="shared" si="3"/>
        <v>5261</v>
      </c>
      <c r="K58" s="81">
        <v>0</v>
      </c>
      <c r="L58" s="43"/>
      <c r="N58" s="52">
        <v>32577</v>
      </c>
      <c r="O58" s="97">
        <v>39809</v>
      </c>
      <c r="P58" s="52">
        <v>30</v>
      </c>
      <c r="Q58" s="52"/>
      <c r="R58" s="52">
        <v>13166</v>
      </c>
      <c r="S58" s="95">
        <v>261.8</v>
      </c>
      <c r="T58" s="95"/>
      <c r="U58" s="95"/>
      <c r="V58" s="52">
        <v>70963</v>
      </c>
      <c r="W58" s="52">
        <v>91360</v>
      </c>
      <c r="X58" s="52">
        <v>53214</v>
      </c>
      <c r="Y58" s="52">
        <v>92778</v>
      </c>
      <c r="Z58" s="52">
        <v>88628</v>
      </c>
    </row>
    <row r="59" spans="1:26" ht="18" hidden="1" customHeight="1" x14ac:dyDescent="0.2">
      <c r="A59" s="46">
        <v>42910</v>
      </c>
      <c r="B59" s="47" t="s">
        <v>101</v>
      </c>
      <c r="C59" s="48">
        <v>0</v>
      </c>
      <c r="D59" s="45">
        <v>0</v>
      </c>
      <c r="E59" s="45">
        <v>0</v>
      </c>
      <c r="F59" s="45">
        <v>0</v>
      </c>
      <c r="G59" s="79">
        <v>0</v>
      </c>
      <c r="H59" s="77">
        <v>0</v>
      </c>
      <c r="I59" s="77">
        <f>1611+553</f>
        <v>2164</v>
      </c>
      <c r="J59" s="80">
        <f t="shared" si="3"/>
        <v>2164</v>
      </c>
      <c r="K59" s="81">
        <v>0</v>
      </c>
      <c r="L59" s="43"/>
      <c r="N59" s="55">
        <v>32577</v>
      </c>
      <c r="O59" s="55">
        <v>39809</v>
      </c>
      <c r="P59" s="55">
        <v>30</v>
      </c>
      <c r="Q59" s="55"/>
      <c r="R59" s="55">
        <v>13166</v>
      </c>
      <c r="S59" s="96">
        <v>261.8</v>
      </c>
      <c r="T59" s="96"/>
      <c r="U59" s="96"/>
      <c r="V59" s="55">
        <v>70963</v>
      </c>
      <c r="W59" s="55">
        <v>91360</v>
      </c>
      <c r="X59" s="55">
        <v>53214</v>
      </c>
      <c r="Y59" s="55">
        <v>92778</v>
      </c>
      <c r="Z59" s="55">
        <v>88628</v>
      </c>
    </row>
    <row r="60" spans="1:26" ht="18" hidden="1" customHeight="1" x14ac:dyDescent="0.2">
      <c r="A60" s="46">
        <v>42911</v>
      </c>
      <c r="B60" s="47" t="s">
        <v>95</v>
      </c>
      <c r="C60" s="48">
        <f>(V61-V60)*1+(W61-W60)*32+(X61-X60)*12+(Y61-Y60)*6</f>
        <v>4002</v>
      </c>
      <c r="D60" s="45">
        <f>(N61-N60)*8+(O61-O60)*8+(P61-P60)*8</f>
        <v>1136</v>
      </c>
      <c r="E60" s="45">
        <f>(R61-R60)*1+(S61-S60)*120</f>
        <v>2648.9999999999986</v>
      </c>
      <c r="F60" s="45">
        <f>(Z61-Z60)*1</f>
        <v>297</v>
      </c>
      <c r="G60" s="79">
        <f>C60+D60+F60+E60</f>
        <v>8083.9999999999982</v>
      </c>
      <c r="H60" s="77">
        <v>0</v>
      </c>
      <c r="I60" s="77">
        <v>1868</v>
      </c>
      <c r="J60" s="80">
        <f t="shared" si="3"/>
        <v>1868</v>
      </c>
      <c r="K60" s="81">
        <f>J58+J59+J60-G60</f>
        <v>1209.0000000000018</v>
      </c>
      <c r="L60" s="43"/>
      <c r="N60" s="55">
        <v>32577</v>
      </c>
      <c r="O60" s="55">
        <v>39809</v>
      </c>
      <c r="P60" s="55">
        <v>30</v>
      </c>
      <c r="Q60" s="55"/>
      <c r="R60" s="55">
        <v>13166</v>
      </c>
      <c r="S60" s="96">
        <v>261.8</v>
      </c>
      <c r="T60" s="96"/>
      <c r="U60" s="96"/>
      <c r="V60" s="55">
        <v>70963</v>
      </c>
      <c r="W60" s="55">
        <v>91360</v>
      </c>
      <c r="X60" s="55">
        <v>53214</v>
      </c>
      <c r="Y60" s="55">
        <v>92778</v>
      </c>
      <c r="Z60" s="55">
        <v>88628</v>
      </c>
    </row>
    <row r="61" spans="1:26" ht="18" hidden="1" customHeight="1" x14ac:dyDescent="0.2">
      <c r="A61" s="46">
        <v>42912</v>
      </c>
      <c r="B61" s="47" t="s">
        <v>96</v>
      </c>
      <c r="C61" s="48">
        <f>(V62-V61)*1+(W62-W61)*32+(X62-X61)*12+(Y62-Y61)*6</f>
        <v>2672</v>
      </c>
      <c r="D61" s="45">
        <f>(N62-N61)*8+(O62-O61)*8+(P62-P61)*8</f>
        <v>1832</v>
      </c>
      <c r="E61" s="45">
        <f>(R62-R61)*1+(S62-S61)*120</f>
        <v>929.00000000000273</v>
      </c>
      <c r="F61" s="45">
        <f>(Z62-Z61)*1</f>
        <v>99</v>
      </c>
      <c r="G61" s="79">
        <f>C61+D61+F61+E61</f>
        <v>5532.0000000000027</v>
      </c>
      <c r="H61" s="77">
        <v>4345</v>
      </c>
      <c r="I61" s="77">
        <v>456</v>
      </c>
      <c r="J61" s="80">
        <f t="shared" si="3"/>
        <v>4801</v>
      </c>
      <c r="K61" s="81">
        <f t="shared" si="13"/>
        <v>-731.00000000000273</v>
      </c>
      <c r="L61" s="43"/>
      <c r="N61" s="52">
        <v>32657</v>
      </c>
      <c r="O61" s="52">
        <v>39862</v>
      </c>
      <c r="P61" s="52">
        <v>39</v>
      </c>
      <c r="Q61" s="52"/>
      <c r="R61" s="52">
        <v>13211</v>
      </c>
      <c r="S61" s="95">
        <v>283.5</v>
      </c>
      <c r="T61" s="95"/>
      <c r="U61" s="95"/>
      <c r="V61" s="52">
        <v>71561</v>
      </c>
      <c r="W61" s="52">
        <v>91439</v>
      </c>
      <c r="X61" s="52">
        <v>53287</v>
      </c>
      <c r="Y61" s="52">
        <v>92778</v>
      </c>
      <c r="Z61" s="52">
        <v>88925</v>
      </c>
    </row>
    <row r="62" spans="1:26" ht="18" hidden="1" customHeight="1" x14ac:dyDescent="0.2">
      <c r="A62" s="46">
        <v>42913</v>
      </c>
      <c r="B62" s="47" t="s">
        <v>97</v>
      </c>
      <c r="C62" s="48">
        <f>(V63-V62)*1+(W63-W62)*32+(X63-X62)*12+(Y63-Y62)*6</f>
        <v>2819</v>
      </c>
      <c r="D62" s="45">
        <f>(N63-N62)*8+(O63-O62)*8+(P63-P62)*8</f>
        <v>1832</v>
      </c>
      <c r="E62" s="45">
        <f>(R63-R62)*1+(S63-S62)*120</f>
        <v>844.99999999999727</v>
      </c>
      <c r="F62" s="45">
        <f>(Z63-Z62)*1</f>
        <v>111</v>
      </c>
      <c r="G62" s="79">
        <f>C62+D62+F62+E62</f>
        <v>5606.9999999999973</v>
      </c>
      <c r="H62" s="77">
        <v>4381</v>
      </c>
      <c r="I62" s="77">
        <v>867</v>
      </c>
      <c r="J62" s="80">
        <f t="shared" si="3"/>
        <v>5248</v>
      </c>
      <c r="K62" s="81">
        <f t="shared" si="13"/>
        <v>-358.99999999999727</v>
      </c>
      <c r="L62" s="43"/>
      <c r="N62" s="52">
        <v>32817</v>
      </c>
      <c r="O62" s="52">
        <v>39922</v>
      </c>
      <c r="P62" s="52">
        <v>48</v>
      </c>
      <c r="Q62" s="52"/>
      <c r="R62" s="52">
        <v>13228</v>
      </c>
      <c r="S62" s="95">
        <v>291.10000000000002</v>
      </c>
      <c r="T62" s="95"/>
      <c r="U62" s="95"/>
      <c r="V62" s="52">
        <v>71801</v>
      </c>
      <c r="W62" s="52">
        <v>91494</v>
      </c>
      <c r="X62" s="52">
        <v>53343</v>
      </c>
      <c r="Y62" s="52">
        <v>92778</v>
      </c>
      <c r="Z62" s="52">
        <v>89024</v>
      </c>
    </row>
    <row r="63" spans="1:26" ht="18" hidden="1" customHeight="1" x14ac:dyDescent="0.2">
      <c r="A63" s="46">
        <v>42914</v>
      </c>
      <c r="B63" s="47" t="s">
        <v>98</v>
      </c>
      <c r="C63" s="48">
        <f>(V64-V63)*1+(W64-W63)*32+(X64-X63)*12+(Y64-Y63)*6</f>
        <v>2783</v>
      </c>
      <c r="D63" s="45">
        <f>(N64-N63)*8+(O64-O63)*8+(P64-P63)*8</f>
        <v>1744</v>
      </c>
      <c r="E63" s="45">
        <f>(R64-R63)*1+(S64-S63)*120</f>
        <v>785.99999999999727</v>
      </c>
      <c r="F63" s="45">
        <f>(Z64-Z63)*1</f>
        <v>96</v>
      </c>
      <c r="G63" s="79">
        <f>C63+D63+F63+E63</f>
        <v>5408.9999999999973</v>
      </c>
      <c r="H63" s="77">
        <v>4239</v>
      </c>
      <c r="I63" s="77">
        <v>879</v>
      </c>
      <c r="J63" s="80">
        <f t="shared" si="3"/>
        <v>5118</v>
      </c>
      <c r="K63" s="81">
        <f t="shared" si="13"/>
        <v>-290.99999999999727</v>
      </c>
      <c r="L63" s="43"/>
      <c r="N63" s="52">
        <v>32977</v>
      </c>
      <c r="O63" s="52">
        <v>39982</v>
      </c>
      <c r="P63" s="52">
        <v>57</v>
      </c>
      <c r="Q63" s="52"/>
      <c r="R63" s="52">
        <v>13245</v>
      </c>
      <c r="S63" s="95">
        <v>298</v>
      </c>
      <c r="T63" s="95"/>
      <c r="U63" s="95"/>
      <c r="V63" s="52">
        <v>72032</v>
      </c>
      <c r="W63" s="52">
        <v>91549</v>
      </c>
      <c r="X63" s="52">
        <v>53412</v>
      </c>
      <c r="Y63" s="52">
        <v>92778</v>
      </c>
      <c r="Z63" s="52">
        <v>89135</v>
      </c>
    </row>
    <row r="64" spans="1:26" ht="18" hidden="1" customHeight="1" x14ac:dyDescent="0.2">
      <c r="A64" s="46">
        <v>42915</v>
      </c>
      <c r="B64" s="47" t="s">
        <v>99</v>
      </c>
      <c r="C64" s="48">
        <f>(V65-V64)*1+(W65-W64)*32+(X65-X64)*12+(Y65-Y64)*6</f>
        <v>2831</v>
      </c>
      <c r="D64" s="45">
        <f>(N65-N64)*8+(O65-O64)*8+(P65-P64)*8</f>
        <v>1640</v>
      </c>
      <c r="E64" s="45">
        <f>(R65-R64)*1+(S65-S64)*120</f>
        <v>772.00000000000136</v>
      </c>
      <c r="F64" s="45">
        <f>(Z65-Z64)*1</f>
        <v>96</v>
      </c>
      <c r="G64" s="79">
        <f>C64+D64+F64+E64</f>
        <v>5339.0000000000018</v>
      </c>
      <c r="H64" s="77">
        <v>4308</v>
      </c>
      <c r="I64" s="77">
        <v>826</v>
      </c>
      <c r="J64" s="80">
        <f t="shared" si="3"/>
        <v>5134</v>
      </c>
      <c r="K64" s="81">
        <f t="shared" si="13"/>
        <v>-205.00000000000182</v>
      </c>
      <c r="L64" s="43"/>
      <c r="N64" s="52">
        <v>33127</v>
      </c>
      <c r="O64" s="52">
        <v>40038</v>
      </c>
      <c r="P64" s="52">
        <v>69</v>
      </c>
      <c r="Q64" s="52"/>
      <c r="R64" s="52">
        <v>13263</v>
      </c>
      <c r="S64" s="95">
        <v>304.39999999999998</v>
      </c>
      <c r="T64" s="95"/>
      <c r="U64" s="95"/>
      <c r="V64" s="52">
        <v>72283</v>
      </c>
      <c r="W64" s="52">
        <v>91603</v>
      </c>
      <c r="X64" s="52">
        <v>53479</v>
      </c>
      <c r="Y64" s="52">
        <v>92778</v>
      </c>
      <c r="Z64" s="52">
        <v>89231</v>
      </c>
    </row>
    <row r="65" spans="1:26" ht="18" hidden="1" customHeight="1" x14ac:dyDescent="0.2">
      <c r="A65" s="46">
        <v>42916</v>
      </c>
      <c r="B65" s="47" t="s">
        <v>100</v>
      </c>
      <c r="C65" s="48">
        <v>0</v>
      </c>
      <c r="D65" s="45">
        <v>0</v>
      </c>
      <c r="E65" s="45">
        <v>0</v>
      </c>
      <c r="F65" s="45">
        <v>0</v>
      </c>
      <c r="G65" s="79">
        <v>0</v>
      </c>
      <c r="H65" s="77">
        <v>4265</v>
      </c>
      <c r="I65" s="77">
        <v>790</v>
      </c>
      <c r="J65" s="80">
        <f t="shared" si="3"/>
        <v>5055</v>
      </c>
      <c r="K65" s="81">
        <v>0</v>
      </c>
      <c r="L65" s="43"/>
      <c r="N65" s="52">
        <v>33267</v>
      </c>
      <c r="O65" s="52">
        <v>40095</v>
      </c>
      <c r="P65" s="52">
        <v>77</v>
      </c>
      <c r="Q65" s="52"/>
      <c r="R65" s="52">
        <v>13279</v>
      </c>
      <c r="S65" s="95">
        <v>310.7</v>
      </c>
      <c r="T65" s="95"/>
      <c r="U65" s="95"/>
      <c r="V65" s="52">
        <v>72526</v>
      </c>
      <c r="W65" s="52">
        <v>91658</v>
      </c>
      <c r="X65" s="52">
        <v>53548</v>
      </c>
      <c r="Y65" s="52">
        <v>92778</v>
      </c>
      <c r="Z65" s="52">
        <v>89327</v>
      </c>
    </row>
    <row r="66" spans="1:26" ht="18" hidden="1" customHeight="1" x14ac:dyDescent="0.2">
      <c r="A66" s="46">
        <v>42917</v>
      </c>
      <c r="B66" s="47" t="s">
        <v>101</v>
      </c>
      <c r="C66" s="48">
        <v>0</v>
      </c>
      <c r="D66" s="99">
        <f t="shared" ref="D66:D106" si="14">(N67-N66)*8+(P67-P66)*8</f>
        <v>0</v>
      </c>
      <c r="E66" s="45">
        <v>0</v>
      </c>
      <c r="F66" s="45">
        <v>0</v>
      </c>
      <c r="G66" s="79">
        <v>0</v>
      </c>
      <c r="H66" s="77"/>
      <c r="I66" s="77">
        <f>1756+615</f>
        <v>2371</v>
      </c>
      <c r="J66" s="80">
        <f t="shared" si="3"/>
        <v>2371</v>
      </c>
      <c r="K66" s="81">
        <v>0</v>
      </c>
      <c r="L66" s="43"/>
      <c r="N66" s="55">
        <v>33267</v>
      </c>
      <c r="O66" s="55">
        <v>40095</v>
      </c>
      <c r="P66" s="55">
        <v>77</v>
      </c>
      <c r="Q66" s="55"/>
      <c r="R66" s="55">
        <v>13279</v>
      </c>
      <c r="S66" s="96">
        <v>310.7</v>
      </c>
      <c r="T66" s="96"/>
      <c r="U66" s="96"/>
      <c r="V66" s="55">
        <v>72526</v>
      </c>
      <c r="W66" s="55">
        <v>91658</v>
      </c>
      <c r="X66" s="55">
        <v>53548</v>
      </c>
      <c r="Y66" s="55">
        <v>92778</v>
      </c>
      <c r="Z66" s="55">
        <v>89327</v>
      </c>
    </row>
    <row r="67" spans="1:26" ht="18" hidden="1" customHeight="1" x14ac:dyDescent="0.2">
      <c r="A67" s="46">
        <v>42918</v>
      </c>
      <c r="B67" s="47" t="s">
        <v>95</v>
      </c>
      <c r="C67" s="48">
        <f>(V68-V67)*1+(W68-W67)*32+(X68-X67)*12+(Y68-Y67)*6</f>
        <v>3798</v>
      </c>
      <c r="D67" s="99">
        <f t="shared" si="14"/>
        <v>3592</v>
      </c>
      <c r="E67" s="45">
        <f>(R68-R67)*1+(S68-S67)*120</f>
        <v>2643.0000000000027</v>
      </c>
      <c r="F67" s="45">
        <f>(Z68-Z67)*1</f>
        <v>304</v>
      </c>
      <c r="G67" s="79">
        <f>C67+D67+F67+E67</f>
        <v>10337.000000000004</v>
      </c>
      <c r="H67" s="77"/>
      <c r="I67" s="77">
        <v>2522</v>
      </c>
      <c r="J67" s="80">
        <f t="shared" si="3"/>
        <v>2522</v>
      </c>
      <c r="K67" s="81">
        <f>J65+J66+J67-G67</f>
        <v>-389.00000000000364</v>
      </c>
      <c r="L67" s="43"/>
      <c r="N67" s="55">
        <v>33267</v>
      </c>
      <c r="O67" s="55">
        <v>40095</v>
      </c>
      <c r="P67" s="55">
        <v>77</v>
      </c>
      <c r="Q67" s="55"/>
      <c r="R67" s="55">
        <v>13279</v>
      </c>
      <c r="S67" s="96">
        <v>310.7</v>
      </c>
      <c r="T67" s="96"/>
      <c r="U67" s="96"/>
      <c r="V67" s="55">
        <v>72526</v>
      </c>
      <c r="W67" s="55">
        <v>91658</v>
      </c>
      <c r="X67" s="55">
        <v>53548</v>
      </c>
      <c r="Y67" s="55">
        <v>92778</v>
      </c>
      <c r="Z67" s="55">
        <v>89327</v>
      </c>
    </row>
    <row r="68" spans="1:26" ht="18" hidden="1" customHeight="1" x14ac:dyDescent="0.2">
      <c r="A68" s="46">
        <v>42919</v>
      </c>
      <c r="B68" s="47" t="s">
        <v>96</v>
      </c>
      <c r="C68" s="48">
        <f>(V69-V68)*1+(W69-W68)*32+(X69-X68)*12+(Y69-Y68)*6</f>
        <v>2923</v>
      </c>
      <c r="D68" s="99">
        <f t="shared" si="14"/>
        <v>1256</v>
      </c>
      <c r="E68" s="45">
        <f>(R69-R68)*1+(S69-S68)*120</f>
        <v>867.99999999999591</v>
      </c>
      <c r="F68" s="45">
        <f>(Z69-Z68)*1</f>
        <v>130</v>
      </c>
      <c r="G68" s="79">
        <f>C68+D68+F68+E68</f>
        <v>5176.9999999999964</v>
      </c>
      <c r="H68" s="77">
        <v>4498</v>
      </c>
      <c r="I68" s="77">
        <v>817</v>
      </c>
      <c r="J68" s="80">
        <f t="shared" si="3"/>
        <v>5315</v>
      </c>
      <c r="K68" s="81">
        <f>J68-G68</f>
        <v>138.00000000000364</v>
      </c>
      <c r="L68" s="43"/>
      <c r="N68" s="52">
        <v>33697</v>
      </c>
      <c r="O68" s="52">
        <v>40222</v>
      </c>
      <c r="P68" s="52">
        <v>96</v>
      </c>
      <c r="Q68" s="52"/>
      <c r="R68" s="52">
        <v>13330</v>
      </c>
      <c r="S68" s="95">
        <v>332.3</v>
      </c>
      <c r="T68" s="95"/>
      <c r="U68" s="95"/>
      <c r="V68" s="52">
        <v>73048</v>
      </c>
      <c r="W68" s="52">
        <v>91736</v>
      </c>
      <c r="X68" s="52">
        <v>53613</v>
      </c>
      <c r="Y68" s="52">
        <v>92778</v>
      </c>
      <c r="Z68" s="52">
        <v>89631</v>
      </c>
    </row>
    <row r="69" spans="1:26" ht="18" hidden="1" customHeight="1" x14ac:dyDescent="0.2">
      <c r="A69" s="46">
        <v>42920</v>
      </c>
      <c r="B69" s="47" t="s">
        <v>97</v>
      </c>
      <c r="C69" s="48">
        <f>(V70-V69)*1+(W70-W69)*32+(X70-X69)*12+(Y70-Y69)*6</f>
        <v>2495</v>
      </c>
      <c r="D69" s="99">
        <f t="shared" si="14"/>
        <v>1344</v>
      </c>
      <c r="E69" s="45">
        <f>(R70-R69)*1+(S70-S69)*120</f>
        <v>821.00000000000546</v>
      </c>
      <c r="F69" s="45">
        <f>(Z70-Z69)*1</f>
        <v>119</v>
      </c>
      <c r="G69" s="79">
        <f>C69+D69+F69+E69</f>
        <v>4779.0000000000055</v>
      </c>
      <c r="H69" s="77">
        <v>4018</v>
      </c>
      <c r="I69" s="77">
        <v>832</v>
      </c>
      <c r="J69" s="80">
        <f t="shared" si="3"/>
        <v>4850</v>
      </c>
      <c r="K69" s="81">
        <f t="shared" ref="K69:K127" si="15">J69-G69</f>
        <v>70.999999999994543</v>
      </c>
      <c r="L69" s="43"/>
      <c r="N69" s="52">
        <v>33847</v>
      </c>
      <c r="O69" s="52">
        <v>40278</v>
      </c>
      <c r="P69" s="52">
        <v>103</v>
      </c>
      <c r="Q69" s="52"/>
      <c r="R69" s="52">
        <v>13346</v>
      </c>
      <c r="S69" s="95">
        <v>339.4</v>
      </c>
      <c r="T69" s="95"/>
      <c r="U69" s="95"/>
      <c r="V69" s="52">
        <v>73331</v>
      </c>
      <c r="W69" s="52">
        <v>91790</v>
      </c>
      <c r="X69" s="52">
        <v>53689</v>
      </c>
      <c r="Y69" s="52">
        <v>92778</v>
      </c>
      <c r="Z69" s="52">
        <v>89761</v>
      </c>
    </row>
    <row r="70" spans="1:26" ht="18" hidden="1" customHeight="1" x14ac:dyDescent="0.2">
      <c r="A70" s="46">
        <v>42921</v>
      </c>
      <c r="B70" s="47" t="s">
        <v>98</v>
      </c>
      <c r="C70" s="48">
        <f>(V71-V70)*1+(W71-W70)*32+(X71-X70)*12+(Y71-Y70)*6</f>
        <v>2633</v>
      </c>
      <c r="D70" s="99">
        <f t="shared" si="14"/>
        <v>1528</v>
      </c>
      <c r="E70" s="45">
        <f>(R71-R70)*1+(S71-S70)*120</f>
        <v>870.99999999999591</v>
      </c>
      <c r="F70" s="45">
        <f>(Z71-Z70)*1</f>
        <v>68</v>
      </c>
      <c r="G70" s="79">
        <f>C70+D70+F70+E70</f>
        <v>5099.9999999999964</v>
      </c>
      <c r="H70" s="77">
        <v>4333</v>
      </c>
      <c r="I70" s="77">
        <v>869</v>
      </c>
      <c r="J70" s="80">
        <f t="shared" si="3"/>
        <v>5202</v>
      </c>
      <c r="K70" s="81">
        <f t="shared" si="15"/>
        <v>102.00000000000364</v>
      </c>
      <c r="L70" s="43"/>
      <c r="N70" s="52">
        <v>34007</v>
      </c>
      <c r="O70" s="52">
        <v>40340</v>
      </c>
      <c r="P70" s="52">
        <v>111</v>
      </c>
      <c r="Q70" s="52"/>
      <c r="R70" s="52">
        <v>13363</v>
      </c>
      <c r="S70" s="95">
        <v>346.1</v>
      </c>
      <c r="T70" s="95"/>
      <c r="U70" s="95"/>
      <c r="V70" s="52">
        <v>73586</v>
      </c>
      <c r="W70" s="52">
        <v>91836</v>
      </c>
      <c r="X70" s="52">
        <v>53753</v>
      </c>
      <c r="Y70" s="52">
        <v>92778</v>
      </c>
      <c r="Z70" s="52">
        <v>89880</v>
      </c>
    </row>
    <row r="71" spans="1:26" ht="18" hidden="1" customHeight="1" x14ac:dyDescent="0.2">
      <c r="A71" s="46">
        <v>42922</v>
      </c>
      <c r="B71" s="47" t="s">
        <v>99</v>
      </c>
      <c r="C71" s="48">
        <f>(V72-V71)*1+(W72-W71)*32+(X72-X71)*12+(Y72-Y71)*6</f>
        <v>2618</v>
      </c>
      <c r="D71" s="99">
        <f t="shared" si="14"/>
        <v>1656</v>
      </c>
      <c r="E71" s="45">
        <f>(R72-R71)*1+(S72-S71)*120</f>
        <v>736</v>
      </c>
      <c r="F71" s="45">
        <f>(Z72-Z71)*1</f>
        <v>93</v>
      </c>
      <c r="G71" s="79">
        <f>C71+D71+F71+E71</f>
        <v>5103</v>
      </c>
      <c r="H71" s="77">
        <v>4246</v>
      </c>
      <c r="I71" s="77">
        <v>924</v>
      </c>
      <c r="J71" s="80">
        <f t="shared" si="3"/>
        <v>5170</v>
      </c>
      <c r="K71" s="81">
        <f t="shared" si="15"/>
        <v>67</v>
      </c>
      <c r="L71" s="43"/>
      <c r="N71" s="52">
        <v>34187</v>
      </c>
      <c r="O71" s="52">
        <v>40408</v>
      </c>
      <c r="P71" s="52">
        <v>122</v>
      </c>
      <c r="Q71" s="52"/>
      <c r="R71" s="52">
        <v>13382</v>
      </c>
      <c r="S71" s="95">
        <v>353.2</v>
      </c>
      <c r="T71" s="95"/>
      <c r="U71" s="95"/>
      <c r="V71" s="52">
        <v>73855</v>
      </c>
      <c r="W71" s="52">
        <v>91887</v>
      </c>
      <c r="X71" s="52">
        <v>53814</v>
      </c>
      <c r="Y71" s="52">
        <v>92778</v>
      </c>
      <c r="Z71" s="52">
        <v>89948</v>
      </c>
    </row>
    <row r="72" spans="1:26" ht="18" hidden="1" customHeight="1" x14ac:dyDescent="0.2">
      <c r="A72" s="46">
        <v>42923</v>
      </c>
      <c r="B72" s="47" t="s">
        <v>100</v>
      </c>
      <c r="C72" s="48">
        <v>0</v>
      </c>
      <c r="D72" s="99">
        <f t="shared" si="14"/>
        <v>0</v>
      </c>
      <c r="E72" s="45">
        <v>0</v>
      </c>
      <c r="F72" s="45">
        <v>0</v>
      </c>
      <c r="G72" s="79"/>
      <c r="H72" s="77">
        <v>4372</v>
      </c>
      <c r="I72" s="77">
        <v>856</v>
      </c>
      <c r="J72" s="80">
        <f t="shared" si="3"/>
        <v>5228</v>
      </c>
      <c r="K72" s="81"/>
      <c r="L72" s="43"/>
      <c r="N72" s="52">
        <v>34387</v>
      </c>
      <c r="O72" s="52">
        <v>40477</v>
      </c>
      <c r="P72" s="52">
        <v>129</v>
      </c>
      <c r="Q72" s="52"/>
      <c r="R72" s="52">
        <v>13398</v>
      </c>
      <c r="S72" s="95">
        <v>359.2</v>
      </c>
      <c r="T72" s="95"/>
      <c r="U72" s="95"/>
      <c r="V72" s="52">
        <v>74133</v>
      </c>
      <c r="W72" s="52">
        <v>91938</v>
      </c>
      <c r="X72" s="52">
        <v>53873</v>
      </c>
      <c r="Y72" s="52">
        <v>92778</v>
      </c>
      <c r="Z72" s="52">
        <v>90041</v>
      </c>
    </row>
    <row r="73" spans="1:26" ht="18" hidden="1" customHeight="1" x14ac:dyDescent="0.2">
      <c r="A73" s="46">
        <v>42924</v>
      </c>
      <c r="B73" s="47" t="s">
        <v>101</v>
      </c>
      <c r="C73" s="48"/>
      <c r="D73" s="99">
        <f t="shared" si="14"/>
        <v>0</v>
      </c>
      <c r="E73" s="45">
        <v>0</v>
      </c>
      <c r="F73" s="45">
        <v>0</v>
      </c>
      <c r="G73" s="79"/>
      <c r="H73" s="77"/>
      <c r="I73" s="77">
        <v>1981</v>
      </c>
      <c r="J73" s="80">
        <f t="shared" ref="J73:J127" si="16">H73+I73</f>
        <v>1981</v>
      </c>
      <c r="K73" s="81"/>
      <c r="L73" s="43"/>
      <c r="N73" s="55">
        <v>34387</v>
      </c>
      <c r="O73" s="55">
        <v>40477</v>
      </c>
      <c r="P73" s="55">
        <v>129</v>
      </c>
      <c r="Q73" s="55"/>
      <c r="R73" s="55">
        <v>13398</v>
      </c>
      <c r="S73" s="96">
        <v>359.2</v>
      </c>
      <c r="T73" s="96"/>
      <c r="U73" s="96"/>
      <c r="V73" s="55">
        <v>74133</v>
      </c>
      <c r="W73" s="55">
        <v>91938</v>
      </c>
      <c r="X73" s="55">
        <v>53873</v>
      </c>
      <c r="Y73" s="55">
        <v>92778</v>
      </c>
      <c r="Z73" s="55">
        <v>90041</v>
      </c>
    </row>
    <row r="74" spans="1:26" ht="18" hidden="1" customHeight="1" x14ac:dyDescent="0.2">
      <c r="A74" s="46">
        <v>42925</v>
      </c>
      <c r="B74" s="47" t="s">
        <v>95</v>
      </c>
      <c r="C74" s="48">
        <f>(V75-V74)*1+(W75-W74)*32+(X75-X74)*12+(Y75-Y74)*6</f>
        <v>3972</v>
      </c>
      <c r="D74" s="99">
        <f t="shared" si="14"/>
        <v>2024</v>
      </c>
      <c r="E74" s="45">
        <f t="shared" ref="E74:E106" si="17">(R75-R74)*1+(S75-S74)*120</f>
        <v>2644.0000000000027</v>
      </c>
      <c r="F74" s="45">
        <f>(Z75-Z74)*1</f>
        <v>294</v>
      </c>
      <c r="G74" s="79">
        <f>C74+D74+F74+E74</f>
        <v>8934.0000000000036</v>
      </c>
      <c r="H74" s="77"/>
      <c r="I74" s="77">
        <v>2419</v>
      </c>
      <c r="J74" s="80">
        <f t="shared" si="16"/>
        <v>2419</v>
      </c>
      <c r="K74" s="81">
        <f>J72+J73+J74-G74</f>
        <v>693.99999999999636</v>
      </c>
      <c r="L74" s="43"/>
      <c r="N74" s="55">
        <v>34387</v>
      </c>
      <c r="O74" s="55">
        <v>40477</v>
      </c>
      <c r="P74" s="55">
        <v>129</v>
      </c>
      <c r="Q74" s="55"/>
      <c r="R74" s="55">
        <v>13398</v>
      </c>
      <c r="S74" s="96">
        <v>359.2</v>
      </c>
      <c r="T74" s="96"/>
      <c r="U74" s="96"/>
      <c r="V74" s="55">
        <v>74133</v>
      </c>
      <c r="W74" s="55">
        <v>91938</v>
      </c>
      <c r="X74" s="55">
        <v>53873</v>
      </c>
      <c r="Y74" s="55">
        <v>92778</v>
      </c>
      <c r="Z74" s="55">
        <v>90041</v>
      </c>
    </row>
    <row r="75" spans="1:26" ht="18" hidden="1" customHeight="1" x14ac:dyDescent="0.2">
      <c r="A75" s="46">
        <v>42926</v>
      </c>
      <c r="B75" s="47" t="s">
        <v>96</v>
      </c>
      <c r="C75" s="48">
        <f>(V76-V75)*1+(W76-W75)*32+(X76-X75)*12+(Y76-Y75)*6</f>
        <v>2223</v>
      </c>
      <c r="D75" s="99">
        <f t="shared" si="14"/>
        <v>1416</v>
      </c>
      <c r="E75" s="45">
        <f t="shared" si="17"/>
        <v>854</v>
      </c>
      <c r="F75" s="45">
        <f>(Z76-Z75)*1</f>
        <v>90</v>
      </c>
      <c r="G75" s="79">
        <f>C75+D75+F75+E75</f>
        <v>4583</v>
      </c>
      <c r="H75" s="77">
        <v>3918</v>
      </c>
      <c r="I75" s="77">
        <v>799</v>
      </c>
      <c r="J75" s="80">
        <f t="shared" si="16"/>
        <v>4717</v>
      </c>
      <c r="K75" s="81">
        <f t="shared" si="15"/>
        <v>134</v>
      </c>
      <c r="L75" s="43"/>
      <c r="N75" s="52">
        <v>34617</v>
      </c>
      <c r="O75" s="52">
        <v>40602</v>
      </c>
      <c r="P75" s="52">
        <v>152</v>
      </c>
      <c r="Q75" s="52"/>
      <c r="R75" s="52">
        <v>13450</v>
      </c>
      <c r="S75" s="95">
        <v>380.8</v>
      </c>
      <c r="T75" s="95"/>
      <c r="U75" s="95"/>
      <c r="V75" s="52">
        <v>74777</v>
      </c>
      <c r="W75" s="52">
        <v>92018</v>
      </c>
      <c r="X75" s="52">
        <v>53937</v>
      </c>
      <c r="Y75" s="52">
        <v>92778</v>
      </c>
      <c r="Z75" s="52">
        <v>90335</v>
      </c>
    </row>
    <row r="76" spans="1:26" ht="18" hidden="1" customHeight="1" x14ac:dyDescent="0.2">
      <c r="A76" s="46">
        <v>42927</v>
      </c>
      <c r="B76" s="47" t="s">
        <v>97</v>
      </c>
      <c r="C76" s="48">
        <f>(V77-V76)*1+(W77-W76)*32+(X77-X76)*12+(Y77-Y76)*6</f>
        <v>2557</v>
      </c>
      <c r="D76" s="99">
        <f t="shared" si="14"/>
        <v>1424</v>
      </c>
      <c r="E76" s="45">
        <f t="shared" si="17"/>
        <v>869.99999999999591</v>
      </c>
      <c r="F76" s="45">
        <f>(Z77-Z76)*1</f>
        <v>103</v>
      </c>
      <c r="G76" s="79">
        <f>C76+D76+F76+E76</f>
        <v>4953.9999999999964</v>
      </c>
      <c r="H76" s="77">
        <v>4155</v>
      </c>
      <c r="I76" s="77">
        <v>871</v>
      </c>
      <c r="J76" s="80">
        <f t="shared" si="16"/>
        <v>5026</v>
      </c>
      <c r="K76" s="81">
        <f t="shared" si="15"/>
        <v>72.000000000003638</v>
      </c>
      <c r="L76" s="43"/>
      <c r="N76" s="52">
        <v>34787</v>
      </c>
      <c r="O76" s="52">
        <v>40666</v>
      </c>
      <c r="P76" s="52">
        <v>159</v>
      </c>
      <c r="Q76" s="52"/>
      <c r="R76" s="52">
        <v>13464</v>
      </c>
      <c r="S76" s="95">
        <v>387.8</v>
      </c>
      <c r="T76" s="95"/>
      <c r="U76" s="95"/>
      <c r="V76" s="52">
        <v>75008</v>
      </c>
      <c r="W76" s="52">
        <v>92060</v>
      </c>
      <c r="X76" s="52">
        <v>53991</v>
      </c>
      <c r="Y76" s="52">
        <v>92778</v>
      </c>
      <c r="Z76" s="52">
        <v>90425</v>
      </c>
    </row>
    <row r="77" spans="1:26" ht="18" hidden="1" customHeight="1" x14ac:dyDescent="0.2">
      <c r="A77" s="46">
        <v>42928</v>
      </c>
      <c r="B77" s="47" t="s">
        <v>98</v>
      </c>
      <c r="C77" s="48">
        <f>(V78-V77)*1+(W78-W77)*32+(X78-X77)*12+(Y78-Y77)*6</f>
        <v>2280</v>
      </c>
      <c r="D77" s="99">
        <f t="shared" si="14"/>
        <v>1344</v>
      </c>
      <c r="E77" s="45">
        <f t="shared" si="17"/>
        <v>617</v>
      </c>
      <c r="F77" s="45">
        <f>(Z78-Z77)*1</f>
        <v>105</v>
      </c>
      <c r="G77" s="79">
        <f>C77+D77+F77+E77</f>
        <v>4346</v>
      </c>
      <c r="H77" s="77">
        <v>3622</v>
      </c>
      <c r="I77" s="77">
        <v>881</v>
      </c>
      <c r="J77" s="80">
        <f t="shared" si="16"/>
        <v>4503</v>
      </c>
      <c r="K77" s="81">
        <f t="shared" si="15"/>
        <v>157</v>
      </c>
      <c r="L77" s="43"/>
      <c r="N77" s="52">
        <v>34957</v>
      </c>
      <c r="O77" s="52">
        <v>40730</v>
      </c>
      <c r="P77" s="52">
        <v>167</v>
      </c>
      <c r="Q77" s="52"/>
      <c r="R77" s="52">
        <v>13482</v>
      </c>
      <c r="S77" s="95">
        <v>394.9</v>
      </c>
      <c r="T77" s="95"/>
      <c r="U77" s="95"/>
      <c r="V77" s="52">
        <v>75265</v>
      </c>
      <c r="W77" s="52">
        <v>92112</v>
      </c>
      <c r="X77" s="52">
        <v>54044</v>
      </c>
      <c r="Y77" s="52">
        <v>92778</v>
      </c>
      <c r="Z77" s="52">
        <v>90528</v>
      </c>
    </row>
    <row r="78" spans="1:26" ht="18" hidden="1" customHeight="1" x14ac:dyDescent="0.2">
      <c r="A78" s="46">
        <v>42929</v>
      </c>
      <c r="B78" s="47" t="s">
        <v>99</v>
      </c>
      <c r="C78" s="48">
        <f>(V79-V78)*1+(W79-W78)*32+(X79-X78)*12+(Y79-Y78)*6</f>
        <v>2640</v>
      </c>
      <c r="D78" s="99">
        <f t="shared" si="14"/>
        <v>1344</v>
      </c>
      <c r="E78" s="45">
        <f t="shared" si="17"/>
        <v>737</v>
      </c>
      <c r="F78" s="45">
        <f>(Z79-Z78)*1</f>
        <v>94</v>
      </c>
      <c r="G78" s="79">
        <f>C78+D78+F78+E78</f>
        <v>4815</v>
      </c>
      <c r="H78" s="77">
        <v>4138</v>
      </c>
      <c r="I78" s="77">
        <v>893</v>
      </c>
      <c r="J78" s="80">
        <f t="shared" si="16"/>
        <v>5031</v>
      </c>
      <c r="K78" s="81">
        <f t="shared" si="15"/>
        <v>216</v>
      </c>
      <c r="L78" s="43"/>
      <c r="N78" s="52">
        <v>35117</v>
      </c>
      <c r="O78" s="52">
        <v>40791</v>
      </c>
      <c r="P78" s="52">
        <v>175</v>
      </c>
      <c r="Q78" s="52"/>
      <c r="R78" s="52">
        <v>13499</v>
      </c>
      <c r="S78" s="95">
        <v>399.9</v>
      </c>
      <c r="T78" s="95"/>
      <c r="U78" s="95"/>
      <c r="V78" s="52">
        <v>75537</v>
      </c>
      <c r="W78" s="52">
        <v>92159</v>
      </c>
      <c r="X78" s="52">
        <v>54086</v>
      </c>
      <c r="Y78" s="52">
        <v>92778</v>
      </c>
      <c r="Z78" s="52">
        <v>90633</v>
      </c>
    </row>
    <row r="79" spans="1:26" ht="18" hidden="1" customHeight="1" x14ac:dyDescent="0.2">
      <c r="A79" s="46">
        <v>42930</v>
      </c>
      <c r="B79" s="47" t="s">
        <v>100</v>
      </c>
      <c r="C79" s="48"/>
      <c r="D79" s="99">
        <f t="shared" si="14"/>
        <v>0</v>
      </c>
      <c r="E79" s="45">
        <f t="shared" si="17"/>
        <v>0</v>
      </c>
      <c r="F79" s="45">
        <f t="shared" ref="F79:F94" si="18">(Z80-Z79)*1</f>
        <v>0</v>
      </c>
      <c r="G79" s="79"/>
      <c r="H79" s="77">
        <v>3527</v>
      </c>
      <c r="I79" s="77">
        <v>803</v>
      </c>
      <c r="J79" s="80">
        <f t="shared" si="16"/>
        <v>4330</v>
      </c>
      <c r="K79" s="81"/>
      <c r="L79" s="43"/>
      <c r="N79" s="52">
        <v>35277</v>
      </c>
      <c r="O79" s="52">
        <v>40856</v>
      </c>
      <c r="P79" s="52">
        <v>183</v>
      </c>
      <c r="Q79" s="52"/>
      <c r="R79" s="52">
        <v>13516</v>
      </c>
      <c r="S79" s="95">
        <v>405.9</v>
      </c>
      <c r="T79" s="95"/>
      <c r="U79" s="95"/>
      <c r="V79" s="52">
        <v>75817</v>
      </c>
      <c r="W79" s="52">
        <v>92211</v>
      </c>
      <c r="X79" s="52">
        <v>54144</v>
      </c>
      <c r="Y79" s="52">
        <v>92778</v>
      </c>
      <c r="Z79" s="52">
        <v>90727</v>
      </c>
    </row>
    <row r="80" spans="1:26" ht="18" hidden="1" customHeight="1" x14ac:dyDescent="0.2">
      <c r="A80" s="46">
        <v>42931</v>
      </c>
      <c r="B80" s="56" t="s">
        <v>103</v>
      </c>
      <c r="C80" s="48"/>
      <c r="D80" s="99">
        <f t="shared" si="14"/>
        <v>0</v>
      </c>
      <c r="E80" s="45">
        <f t="shared" si="17"/>
        <v>0</v>
      </c>
      <c r="F80" s="45">
        <f t="shared" si="18"/>
        <v>0</v>
      </c>
      <c r="G80" s="79"/>
      <c r="H80" s="77"/>
      <c r="I80" s="77">
        <f>1328+308</f>
        <v>1636</v>
      </c>
      <c r="J80" s="80">
        <f t="shared" si="16"/>
        <v>1636</v>
      </c>
      <c r="K80" s="81"/>
      <c r="L80" s="43"/>
      <c r="N80" s="55">
        <v>35277</v>
      </c>
      <c r="O80" s="55">
        <v>40856</v>
      </c>
      <c r="P80" s="55">
        <v>183</v>
      </c>
      <c r="Q80" s="55"/>
      <c r="R80" s="55">
        <v>13516</v>
      </c>
      <c r="S80" s="96">
        <v>405.9</v>
      </c>
      <c r="T80" s="96"/>
      <c r="U80" s="96"/>
      <c r="V80" s="55">
        <v>75817</v>
      </c>
      <c r="W80" s="55">
        <v>92211</v>
      </c>
      <c r="X80" s="55">
        <v>54144</v>
      </c>
      <c r="Y80" s="55">
        <v>92778</v>
      </c>
      <c r="Z80" s="55">
        <v>90727</v>
      </c>
    </row>
    <row r="81" spans="1:26" ht="18" hidden="1" customHeight="1" x14ac:dyDescent="0.2">
      <c r="A81" s="46">
        <v>42932</v>
      </c>
      <c r="B81" s="56" t="s">
        <v>104</v>
      </c>
      <c r="C81" s="48">
        <f>(V82-V81)*1+(W82-W81)*32+(X82-X81)*12+(Y82-Y81)*6</f>
        <v>3302</v>
      </c>
      <c r="D81" s="99">
        <f t="shared" si="14"/>
        <v>1960</v>
      </c>
      <c r="E81" s="45">
        <f t="shared" si="17"/>
        <v>2362.0000000000014</v>
      </c>
      <c r="F81" s="45">
        <f t="shared" si="18"/>
        <v>325</v>
      </c>
      <c r="G81" s="79">
        <f>C81+D81+F81+E81</f>
        <v>7949.0000000000018</v>
      </c>
      <c r="H81" s="77"/>
      <c r="I81" s="77">
        <v>1815</v>
      </c>
      <c r="J81" s="80">
        <f t="shared" si="16"/>
        <v>1815</v>
      </c>
      <c r="K81" s="81">
        <f>J79+J80+J81-G81</f>
        <v>-168.00000000000182</v>
      </c>
      <c r="L81" s="43"/>
      <c r="N81" s="55">
        <v>35277</v>
      </c>
      <c r="O81" s="55">
        <v>40856</v>
      </c>
      <c r="P81" s="55">
        <v>183</v>
      </c>
      <c r="Q81" s="55"/>
      <c r="R81" s="55">
        <v>13516</v>
      </c>
      <c r="S81" s="96">
        <v>405.9</v>
      </c>
      <c r="T81" s="96"/>
      <c r="U81" s="96"/>
      <c r="V81" s="55">
        <v>75817</v>
      </c>
      <c r="W81" s="55">
        <v>92211</v>
      </c>
      <c r="X81" s="55">
        <v>54144</v>
      </c>
      <c r="Y81" s="55">
        <v>92778</v>
      </c>
      <c r="Z81" s="55">
        <v>90727</v>
      </c>
    </row>
    <row r="82" spans="1:26" ht="18" hidden="1" customHeight="1" x14ac:dyDescent="0.2">
      <c r="A82" s="46">
        <v>42933</v>
      </c>
      <c r="B82" s="47" t="s">
        <v>96</v>
      </c>
      <c r="C82" s="48">
        <f>(V83-V82)*1+(W83-W82)*32+(X83-X82)*12+(Y83-Y82)*6</f>
        <v>2664</v>
      </c>
      <c r="D82" s="99">
        <f t="shared" si="14"/>
        <v>1384</v>
      </c>
      <c r="E82" s="45">
        <f t="shared" si="17"/>
        <v>915</v>
      </c>
      <c r="F82" s="45">
        <f t="shared" si="18"/>
        <v>98</v>
      </c>
      <c r="G82" s="79">
        <f>C82+D82+F82+E82</f>
        <v>5061</v>
      </c>
      <c r="H82" s="77">
        <v>4479</v>
      </c>
      <c r="I82" s="77">
        <v>794</v>
      </c>
      <c r="J82" s="80">
        <f t="shared" si="16"/>
        <v>5273</v>
      </c>
      <c r="K82" s="81">
        <f t="shared" si="15"/>
        <v>212</v>
      </c>
      <c r="L82" s="43"/>
      <c r="N82" s="52">
        <v>35507</v>
      </c>
      <c r="O82" s="52">
        <v>40910</v>
      </c>
      <c r="P82" s="52">
        <v>198</v>
      </c>
      <c r="Q82" s="52"/>
      <c r="R82" s="52">
        <v>13562</v>
      </c>
      <c r="S82" s="95">
        <v>425.2</v>
      </c>
      <c r="T82" s="95"/>
      <c r="U82" s="95"/>
      <c r="V82" s="52">
        <v>76347</v>
      </c>
      <c r="W82" s="52">
        <v>92280</v>
      </c>
      <c r="X82" s="52">
        <v>54191</v>
      </c>
      <c r="Y82" s="52">
        <v>92778</v>
      </c>
      <c r="Z82" s="52">
        <v>91052</v>
      </c>
    </row>
    <row r="83" spans="1:26" ht="18" hidden="1" customHeight="1" x14ac:dyDescent="0.2">
      <c r="A83" s="46">
        <v>42934</v>
      </c>
      <c r="B83" s="47" t="s">
        <v>97</v>
      </c>
      <c r="C83" s="48">
        <f>(V84-V83)*1+(W84-W83)*32+(X84-X83)*12+(Y84-Y83)*6</f>
        <v>2594</v>
      </c>
      <c r="D83" s="99">
        <f t="shared" si="14"/>
        <v>1352</v>
      </c>
      <c r="E83" s="45">
        <f t="shared" si="17"/>
        <v>782.00000000000409</v>
      </c>
      <c r="F83" s="45">
        <f t="shared" si="18"/>
        <v>109</v>
      </c>
      <c r="G83" s="79">
        <f>C83+D83+F83+E83</f>
        <v>4837.0000000000036</v>
      </c>
      <c r="H83" s="77">
        <v>4338</v>
      </c>
      <c r="I83" s="77">
        <v>983</v>
      </c>
      <c r="J83" s="80">
        <f t="shared" si="16"/>
        <v>5321</v>
      </c>
      <c r="K83" s="81">
        <f t="shared" si="15"/>
        <v>483.99999999999636</v>
      </c>
      <c r="L83" s="43"/>
      <c r="N83" s="100">
        <v>35667</v>
      </c>
      <c r="O83" s="52">
        <v>40986</v>
      </c>
      <c r="P83" s="52">
        <v>211</v>
      </c>
      <c r="Q83" s="52"/>
      <c r="R83" s="52">
        <v>13577</v>
      </c>
      <c r="S83" s="95">
        <v>432.7</v>
      </c>
      <c r="T83" s="95"/>
      <c r="U83" s="95"/>
      <c r="V83" s="52">
        <v>76599</v>
      </c>
      <c r="W83" s="52">
        <v>92331</v>
      </c>
      <c r="X83" s="52">
        <v>54256</v>
      </c>
      <c r="Y83" s="52">
        <v>92778</v>
      </c>
      <c r="Z83" s="52">
        <v>91150</v>
      </c>
    </row>
    <row r="84" spans="1:26" ht="18" hidden="1" customHeight="1" x14ac:dyDescent="0.2">
      <c r="A84" s="46">
        <v>42935</v>
      </c>
      <c r="B84" s="47" t="s">
        <v>98</v>
      </c>
      <c r="C84" s="48">
        <f>(V85-V84)*1+(W85-W84)*32+(X85-X84)*12+(Y85-Y84)*6</f>
        <v>2903</v>
      </c>
      <c r="D84" s="99">
        <f t="shared" si="14"/>
        <v>1544</v>
      </c>
      <c r="E84" s="45">
        <f t="shared" si="17"/>
        <v>746.99999999999591</v>
      </c>
      <c r="F84" s="45">
        <f t="shared" si="18"/>
        <v>102</v>
      </c>
      <c r="G84" s="79">
        <f>C84+D84+F84+E84</f>
        <v>5295.9999999999964</v>
      </c>
      <c r="H84" s="77">
        <v>4662</v>
      </c>
      <c r="I84" s="77">
        <v>986</v>
      </c>
      <c r="J84" s="80">
        <f t="shared" si="16"/>
        <v>5648</v>
      </c>
      <c r="K84" s="81">
        <f t="shared" si="15"/>
        <v>352.00000000000364</v>
      </c>
      <c r="L84" s="43"/>
      <c r="N84" s="52">
        <v>35827</v>
      </c>
      <c r="O84" s="52">
        <v>41062</v>
      </c>
      <c r="P84" s="52">
        <v>220</v>
      </c>
      <c r="Q84" s="52"/>
      <c r="R84" s="52">
        <v>13591</v>
      </c>
      <c r="S84" s="95">
        <v>439.1</v>
      </c>
      <c r="T84" s="95"/>
      <c r="U84" s="95"/>
      <c r="V84" s="52">
        <v>76873</v>
      </c>
      <c r="W84" s="52">
        <v>92384</v>
      </c>
      <c r="X84" s="52">
        <v>54308</v>
      </c>
      <c r="Y84" s="52">
        <v>92778</v>
      </c>
      <c r="Z84" s="52">
        <v>91259</v>
      </c>
    </row>
    <row r="85" spans="1:26" ht="18" hidden="1" customHeight="1" x14ac:dyDescent="0.2">
      <c r="A85" s="46">
        <v>42936</v>
      </c>
      <c r="B85" s="47" t="s">
        <v>99</v>
      </c>
      <c r="C85" s="48">
        <f>(V86-V85)*1+(W86-W85)*32+(X86-X85)*12+(Y86-Y85)*6</f>
        <v>2792</v>
      </c>
      <c r="D85" s="99">
        <f t="shared" si="14"/>
        <v>1744</v>
      </c>
      <c r="E85" s="45">
        <f t="shared" si="17"/>
        <v>700.99999999999864</v>
      </c>
      <c r="F85" s="45">
        <f t="shared" si="18"/>
        <v>87</v>
      </c>
      <c r="G85" s="79">
        <f>C85+D85+F85+E85</f>
        <v>5323.9999999999982</v>
      </c>
      <c r="H85" s="77">
        <v>4584</v>
      </c>
      <c r="I85" s="77">
        <v>1003</v>
      </c>
      <c r="J85" s="80">
        <f t="shared" si="16"/>
        <v>5587</v>
      </c>
      <c r="K85" s="81">
        <f t="shared" si="15"/>
        <v>263.00000000000182</v>
      </c>
      <c r="L85" s="43"/>
      <c r="N85" s="52">
        <v>36007</v>
      </c>
      <c r="O85" s="52">
        <v>41139</v>
      </c>
      <c r="P85" s="52">
        <v>233</v>
      </c>
      <c r="Q85" s="52"/>
      <c r="R85" s="52">
        <v>13606</v>
      </c>
      <c r="S85" s="95">
        <v>445.2</v>
      </c>
      <c r="T85" s="95"/>
      <c r="U85" s="95"/>
      <c r="V85" s="52">
        <v>77140</v>
      </c>
      <c r="W85" s="52">
        <v>92442</v>
      </c>
      <c r="X85" s="52">
        <v>54373</v>
      </c>
      <c r="Y85" s="52">
        <v>92778</v>
      </c>
      <c r="Z85" s="52">
        <v>91361</v>
      </c>
    </row>
    <row r="86" spans="1:26" ht="18" hidden="1" customHeight="1" x14ac:dyDescent="0.2">
      <c r="A86" s="46">
        <v>42937</v>
      </c>
      <c r="B86" s="47" t="s">
        <v>100</v>
      </c>
      <c r="C86" s="48"/>
      <c r="D86" s="99">
        <f t="shared" si="14"/>
        <v>0</v>
      </c>
      <c r="E86" s="45">
        <f t="shared" si="17"/>
        <v>0</v>
      </c>
      <c r="F86" s="45">
        <f t="shared" si="18"/>
        <v>0</v>
      </c>
      <c r="G86" s="79"/>
      <c r="H86" s="77">
        <v>4486</v>
      </c>
      <c r="I86" s="77">
        <v>942</v>
      </c>
      <c r="J86" s="80">
        <f t="shared" si="16"/>
        <v>5428</v>
      </c>
      <c r="K86" s="81"/>
      <c r="L86" s="43"/>
      <c r="N86" s="52">
        <v>36217</v>
      </c>
      <c r="O86" s="52">
        <v>41216</v>
      </c>
      <c r="P86" s="52">
        <v>241</v>
      </c>
      <c r="Q86" s="52"/>
      <c r="R86" s="52">
        <v>13623</v>
      </c>
      <c r="S86" s="95">
        <v>450.9</v>
      </c>
      <c r="T86" s="95"/>
      <c r="U86" s="95"/>
      <c r="V86" s="52">
        <v>77404</v>
      </c>
      <c r="W86" s="52">
        <v>92491</v>
      </c>
      <c r="X86" s="52">
        <v>54453</v>
      </c>
      <c r="Y86" s="52">
        <v>92778</v>
      </c>
      <c r="Z86" s="52">
        <v>91448</v>
      </c>
    </row>
    <row r="87" spans="1:26" ht="18" hidden="1" customHeight="1" x14ac:dyDescent="0.2">
      <c r="A87" s="46">
        <v>42938</v>
      </c>
      <c r="B87" s="47" t="s">
        <v>101</v>
      </c>
      <c r="C87" s="48"/>
      <c r="D87" s="99">
        <f t="shared" si="14"/>
        <v>0</v>
      </c>
      <c r="E87" s="45">
        <f t="shared" si="17"/>
        <v>0</v>
      </c>
      <c r="F87" s="45">
        <f t="shared" si="18"/>
        <v>0</v>
      </c>
      <c r="G87" s="79"/>
      <c r="H87" s="77">
        <v>0</v>
      </c>
      <c r="I87" s="77">
        <f>1855+686</f>
        <v>2541</v>
      </c>
      <c r="J87" s="80">
        <f t="shared" si="16"/>
        <v>2541</v>
      </c>
      <c r="K87" s="81"/>
      <c r="L87" s="43"/>
      <c r="N87" s="55">
        <v>36217</v>
      </c>
      <c r="O87" s="55">
        <v>41216</v>
      </c>
      <c r="P87" s="55">
        <v>241</v>
      </c>
      <c r="Q87" s="55"/>
      <c r="R87" s="55">
        <v>13623</v>
      </c>
      <c r="S87" s="96">
        <v>450.9</v>
      </c>
      <c r="T87" s="96"/>
      <c r="U87" s="96"/>
      <c r="V87" s="55">
        <v>77404</v>
      </c>
      <c r="W87" s="55">
        <v>92491</v>
      </c>
      <c r="X87" s="55">
        <v>54453</v>
      </c>
      <c r="Y87" s="55">
        <v>92778</v>
      </c>
      <c r="Z87" s="55">
        <v>91448</v>
      </c>
    </row>
    <row r="88" spans="1:26" ht="18" hidden="1" customHeight="1" x14ac:dyDescent="0.2">
      <c r="A88" s="46">
        <v>42939</v>
      </c>
      <c r="B88" s="47" t="s">
        <v>95</v>
      </c>
      <c r="C88" s="48">
        <f t="shared" ref="C88:C95" si="19">(V89-V88)*1+(W89-W88)*32+(X89-X88)*12+(Y89-Y88)*6</f>
        <v>4045</v>
      </c>
      <c r="D88" s="99">
        <f t="shared" si="14"/>
        <v>3232</v>
      </c>
      <c r="E88" s="45">
        <f t="shared" si="17"/>
        <v>2399.0000000000027</v>
      </c>
      <c r="F88" s="45">
        <f t="shared" si="18"/>
        <v>323</v>
      </c>
      <c r="G88" s="79">
        <f t="shared" ref="G88:G95" si="20">C88+D88+F88+E88</f>
        <v>9999.0000000000036</v>
      </c>
      <c r="H88" s="77">
        <v>0</v>
      </c>
      <c r="I88" s="77">
        <v>2412</v>
      </c>
      <c r="J88" s="80">
        <f t="shared" si="16"/>
        <v>2412</v>
      </c>
      <c r="K88" s="81">
        <f>J86+J87+J88-G88</f>
        <v>381.99999999999636</v>
      </c>
      <c r="L88" s="43"/>
      <c r="N88" s="55">
        <v>36217</v>
      </c>
      <c r="O88" s="55">
        <v>41216</v>
      </c>
      <c r="P88" s="55">
        <v>241</v>
      </c>
      <c r="Q88" s="55"/>
      <c r="R88" s="55">
        <v>13623</v>
      </c>
      <c r="S88" s="96">
        <v>450.9</v>
      </c>
      <c r="T88" s="96"/>
      <c r="U88" s="96"/>
      <c r="V88" s="55">
        <v>77404</v>
      </c>
      <c r="W88" s="55">
        <v>92491</v>
      </c>
      <c r="X88" s="55">
        <v>54453</v>
      </c>
      <c r="Y88" s="55">
        <v>92778</v>
      </c>
      <c r="Z88" s="55">
        <v>91448</v>
      </c>
    </row>
    <row r="89" spans="1:26" ht="18" hidden="1" customHeight="1" x14ac:dyDescent="0.2">
      <c r="A89" s="46">
        <v>42940</v>
      </c>
      <c r="B89" s="47" t="s">
        <v>96</v>
      </c>
      <c r="C89" s="48">
        <f t="shared" si="19"/>
        <v>2772</v>
      </c>
      <c r="D89" s="99">
        <f t="shared" si="14"/>
        <v>1504</v>
      </c>
      <c r="E89" s="45">
        <f t="shared" si="17"/>
        <v>841.99999999999727</v>
      </c>
      <c r="F89" s="45">
        <f t="shared" si="18"/>
        <v>103</v>
      </c>
      <c r="G89" s="79">
        <f t="shared" si="20"/>
        <v>5220.9999999999973</v>
      </c>
      <c r="H89" s="77">
        <v>4582</v>
      </c>
      <c r="I89" s="77">
        <v>740</v>
      </c>
      <c r="J89" s="80">
        <f t="shared" si="16"/>
        <v>5322</v>
      </c>
      <c r="K89" s="81">
        <f t="shared" si="15"/>
        <v>101.00000000000273</v>
      </c>
      <c r="L89" s="43"/>
      <c r="N89" s="52">
        <v>36597</v>
      </c>
      <c r="O89" s="52">
        <v>41339</v>
      </c>
      <c r="P89" s="52">
        <v>265</v>
      </c>
      <c r="Q89" s="52"/>
      <c r="R89" s="52">
        <v>13670</v>
      </c>
      <c r="S89" s="95">
        <v>470.5</v>
      </c>
      <c r="T89" s="95"/>
      <c r="U89" s="95"/>
      <c r="V89" s="52">
        <v>78037</v>
      </c>
      <c r="W89" s="52">
        <v>92574</v>
      </c>
      <c r="X89" s="52">
        <v>54516</v>
      </c>
      <c r="Y89" s="52">
        <v>92778</v>
      </c>
      <c r="Z89" s="52">
        <v>91771</v>
      </c>
    </row>
    <row r="90" spans="1:26" ht="18" hidden="1" customHeight="1" x14ac:dyDescent="0.2">
      <c r="A90" s="46">
        <v>42941</v>
      </c>
      <c r="B90" s="47" t="s">
        <v>97</v>
      </c>
      <c r="C90" s="48">
        <f t="shared" si="19"/>
        <v>2654</v>
      </c>
      <c r="D90" s="99">
        <f t="shared" si="14"/>
        <v>1832</v>
      </c>
      <c r="E90" s="45">
        <f t="shared" si="17"/>
        <v>844.00000000000409</v>
      </c>
      <c r="F90" s="45">
        <f t="shared" si="18"/>
        <v>109</v>
      </c>
      <c r="G90" s="79">
        <f t="shared" si="20"/>
        <v>5439.0000000000036</v>
      </c>
      <c r="H90" s="77">
        <v>4458</v>
      </c>
      <c r="I90" s="77">
        <v>992</v>
      </c>
      <c r="J90" s="80">
        <f t="shared" si="16"/>
        <v>5450</v>
      </c>
      <c r="K90" s="81">
        <f t="shared" si="15"/>
        <v>10.999999999996362</v>
      </c>
      <c r="L90" s="43"/>
      <c r="N90" s="52">
        <v>36777</v>
      </c>
      <c r="O90" s="52">
        <v>41416</v>
      </c>
      <c r="P90" s="52">
        <v>273</v>
      </c>
      <c r="Q90" s="52"/>
      <c r="R90" s="52">
        <v>13684</v>
      </c>
      <c r="S90" s="95">
        <v>477.4</v>
      </c>
      <c r="T90" s="95"/>
      <c r="U90" s="95"/>
      <c r="V90" s="52">
        <v>78297</v>
      </c>
      <c r="W90" s="52">
        <v>92627</v>
      </c>
      <c r="X90" s="52">
        <v>54584</v>
      </c>
      <c r="Y90" s="52">
        <v>92778</v>
      </c>
      <c r="Z90" s="52">
        <v>91874</v>
      </c>
    </row>
    <row r="91" spans="1:26" ht="18" hidden="1" customHeight="1" x14ac:dyDescent="0.2">
      <c r="A91" s="46">
        <v>42942</v>
      </c>
      <c r="B91" s="47" t="s">
        <v>98</v>
      </c>
      <c r="C91" s="48">
        <f t="shared" si="19"/>
        <v>2063</v>
      </c>
      <c r="D91" s="99">
        <f t="shared" si="14"/>
        <v>1680</v>
      </c>
      <c r="E91" s="45">
        <f t="shared" si="17"/>
        <v>757.99999999999864</v>
      </c>
      <c r="F91" s="45">
        <f t="shared" si="18"/>
        <v>116</v>
      </c>
      <c r="G91" s="79">
        <f t="shared" si="20"/>
        <v>4616.9999999999982</v>
      </c>
      <c r="H91" s="77">
        <v>3861</v>
      </c>
      <c r="I91" s="77">
        <v>991</v>
      </c>
      <c r="J91" s="80">
        <f t="shared" si="16"/>
        <v>4852</v>
      </c>
      <c r="K91" s="81">
        <f t="shared" si="15"/>
        <v>235.00000000000182</v>
      </c>
      <c r="L91" s="43"/>
      <c r="N91" s="52">
        <v>36997</v>
      </c>
      <c r="O91" s="52">
        <v>41492</v>
      </c>
      <c r="P91" s="52">
        <v>282</v>
      </c>
      <c r="Q91" s="52"/>
      <c r="R91" s="52">
        <v>13700</v>
      </c>
      <c r="S91" s="95">
        <v>484.3</v>
      </c>
      <c r="T91" s="95"/>
      <c r="U91" s="95"/>
      <c r="V91" s="52">
        <v>78567</v>
      </c>
      <c r="W91" s="52">
        <v>92679</v>
      </c>
      <c r="X91" s="52">
        <v>54644</v>
      </c>
      <c r="Y91" s="52">
        <v>92778</v>
      </c>
      <c r="Z91" s="52">
        <v>91983</v>
      </c>
    </row>
    <row r="92" spans="1:26" ht="18" hidden="1" customHeight="1" x14ac:dyDescent="0.2">
      <c r="A92" s="46">
        <v>42943</v>
      </c>
      <c r="B92" s="47" t="s">
        <v>99</v>
      </c>
      <c r="C92" s="48">
        <f t="shared" si="19"/>
        <v>2452</v>
      </c>
      <c r="D92" s="99">
        <f t="shared" si="14"/>
        <v>1672</v>
      </c>
      <c r="E92" s="45">
        <f t="shared" si="17"/>
        <v>796</v>
      </c>
      <c r="F92" s="45">
        <f t="shared" si="18"/>
        <v>88</v>
      </c>
      <c r="G92" s="79">
        <f t="shared" si="20"/>
        <v>5008</v>
      </c>
      <c r="H92" s="77">
        <v>4078</v>
      </c>
      <c r="I92" s="77">
        <v>1000</v>
      </c>
      <c r="J92" s="80">
        <f t="shared" si="16"/>
        <v>5078</v>
      </c>
      <c r="K92" s="81">
        <f t="shared" si="15"/>
        <v>70</v>
      </c>
      <c r="L92" s="43"/>
      <c r="N92" s="52">
        <v>37197</v>
      </c>
      <c r="O92" s="52">
        <v>41570</v>
      </c>
      <c r="P92" s="52">
        <v>292</v>
      </c>
      <c r="Q92" s="52"/>
      <c r="R92" s="52">
        <v>13714</v>
      </c>
      <c r="S92" s="95">
        <v>490.5</v>
      </c>
      <c r="T92" s="95"/>
      <c r="U92" s="95"/>
      <c r="V92" s="52">
        <v>78822</v>
      </c>
      <c r="W92" s="52">
        <v>92722</v>
      </c>
      <c r="X92" s="52">
        <v>54680</v>
      </c>
      <c r="Y92" s="52">
        <v>92778</v>
      </c>
      <c r="Z92" s="52">
        <v>92099</v>
      </c>
    </row>
    <row r="93" spans="1:26" ht="18" hidden="1" customHeight="1" x14ac:dyDescent="0.2">
      <c r="A93" s="46">
        <v>42944</v>
      </c>
      <c r="B93" s="47" t="s">
        <v>100</v>
      </c>
      <c r="C93" s="48"/>
      <c r="D93" s="99">
        <f t="shared" si="14"/>
        <v>0</v>
      </c>
      <c r="E93" s="45">
        <f t="shared" si="17"/>
        <v>0</v>
      </c>
      <c r="F93" s="45">
        <f t="shared" si="18"/>
        <v>0</v>
      </c>
      <c r="G93" s="79">
        <f t="shared" si="20"/>
        <v>0</v>
      </c>
      <c r="H93" s="77">
        <v>4299</v>
      </c>
      <c r="I93" s="77">
        <v>898</v>
      </c>
      <c r="J93" s="80">
        <f t="shared" si="16"/>
        <v>5197</v>
      </c>
      <c r="K93" s="81"/>
      <c r="L93" s="43"/>
      <c r="N93" s="52">
        <v>37397</v>
      </c>
      <c r="O93" s="52">
        <v>41464</v>
      </c>
      <c r="P93" s="52">
        <v>301</v>
      </c>
      <c r="Q93" s="52"/>
      <c r="R93" s="52">
        <v>13730</v>
      </c>
      <c r="S93" s="95">
        <v>497</v>
      </c>
      <c r="T93" s="95"/>
      <c r="U93" s="95"/>
      <c r="V93" s="52">
        <v>79070</v>
      </c>
      <c r="W93" s="52">
        <v>92768</v>
      </c>
      <c r="X93" s="52">
        <v>54741</v>
      </c>
      <c r="Y93" s="52">
        <v>92778</v>
      </c>
      <c r="Z93" s="52">
        <v>92187</v>
      </c>
    </row>
    <row r="94" spans="1:26" ht="18" hidden="1" customHeight="1" x14ac:dyDescent="0.2">
      <c r="A94" s="46">
        <v>42945</v>
      </c>
      <c r="B94" s="47" t="s">
        <v>101</v>
      </c>
      <c r="C94" s="48"/>
      <c r="D94" s="99">
        <f t="shared" si="14"/>
        <v>0</v>
      </c>
      <c r="E94" s="45">
        <f t="shared" si="17"/>
        <v>0</v>
      </c>
      <c r="F94" s="45">
        <f t="shared" si="18"/>
        <v>0</v>
      </c>
      <c r="G94" s="79">
        <f t="shared" si="20"/>
        <v>0</v>
      </c>
      <c r="H94" s="77">
        <v>0</v>
      </c>
      <c r="I94" s="77">
        <f>1314+357</f>
        <v>1671</v>
      </c>
      <c r="J94" s="80">
        <f t="shared" si="16"/>
        <v>1671</v>
      </c>
      <c r="K94" s="81"/>
      <c r="L94" s="43"/>
      <c r="N94" s="55">
        <v>37397</v>
      </c>
      <c r="O94" s="55">
        <v>41464</v>
      </c>
      <c r="P94" s="55">
        <v>301</v>
      </c>
      <c r="Q94" s="55"/>
      <c r="R94" s="55">
        <v>13730</v>
      </c>
      <c r="S94" s="96">
        <v>497</v>
      </c>
      <c r="T94" s="96"/>
      <c r="U94" s="96"/>
      <c r="V94" s="55">
        <v>79070</v>
      </c>
      <c r="W94" s="55">
        <v>92768</v>
      </c>
      <c r="X94" s="55">
        <v>54741</v>
      </c>
      <c r="Y94" s="55">
        <v>92778</v>
      </c>
      <c r="Z94" s="55">
        <v>92187</v>
      </c>
    </row>
    <row r="95" spans="1:26" ht="18" hidden="1" customHeight="1" x14ac:dyDescent="0.2">
      <c r="A95" s="46">
        <v>42946</v>
      </c>
      <c r="B95" s="47" t="s">
        <v>95</v>
      </c>
      <c r="C95" s="48">
        <f t="shared" si="19"/>
        <v>3679</v>
      </c>
      <c r="D95" s="99">
        <f t="shared" si="14"/>
        <v>1760</v>
      </c>
      <c r="E95" s="45">
        <f t="shared" si="17"/>
        <v>2489.9999999999973</v>
      </c>
      <c r="F95" s="45">
        <f t="shared" ref="F95:F102" si="21">(Z96-Z95)*1</f>
        <v>325</v>
      </c>
      <c r="G95" s="79">
        <f t="shared" si="20"/>
        <v>8253.9999999999964</v>
      </c>
      <c r="H95" s="77">
        <v>0</v>
      </c>
      <c r="I95" s="77">
        <v>1802</v>
      </c>
      <c r="J95" s="80">
        <f t="shared" si="16"/>
        <v>1802</v>
      </c>
      <c r="K95" s="81">
        <f>J93+J94+J95-G95</f>
        <v>416.00000000000364</v>
      </c>
      <c r="L95" s="43"/>
      <c r="N95" s="55">
        <v>37397</v>
      </c>
      <c r="O95" s="55">
        <v>41464</v>
      </c>
      <c r="P95" s="55">
        <v>301</v>
      </c>
      <c r="Q95" s="55"/>
      <c r="R95" s="55">
        <v>13730</v>
      </c>
      <c r="S95" s="96">
        <v>497</v>
      </c>
      <c r="T95" s="96"/>
      <c r="U95" s="96"/>
      <c r="V95" s="55">
        <v>79070</v>
      </c>
      <c r="W95" s="55">
        <v>92768</v>
      </c>
      <c r="X95" s="55">
        <v>54741</v>
      </c>
      <c r="Y95" s="55">
        <v>92778</v>
      </c>
      <c r="Z95" s="55">
        <v>92187</v>
      </c>
    </row>
    <row r="96" spans="1:26" ht="18" hidden="1" customHeight="1" x14ac:dyDescent="0.2">
      <c r="A96" s="46">
        <v>42947</v>
      </c>
      <c r="B96" s="47" t="s">
        <v>96</v>
      </c>
      <c r="C96" s="48">
        <f>(V97-V96)*1+(W97-W96)*32+(X97-X96)*12+(Y97-Y96)*6</f>
        <v>2210</v>
      </c>
      <c r="D96" s="99">
        <f t="shared" si="14"/>
        <v>1672</v>
      </c>
      <c r="E96" s="45">
        <f t="shared" si="17"/>
        <v>818.00000000000546</v>
      </c>
      <c r="F96" s="45">
        <f t="shared" si="21"/>
        <v>82</v>
      </c>
      <c r="G96" s="79">
        <f t="shared" ref="G96:G102" si="22">C96+D96+F96+E96</f>
        <v>4782.0000000000055</v>
      </c>
      <c r="H96" s="77">
        <v>3935</v>
      </c>
      <c r="I96" s="77">
        <v>948</v>
      </c>
      <c r="J96" s="80">
        <f t="shared" si="16"/>
        <v>4883</v>
      </c>
      <c r="K96" s="81">
        <f t="shared" si="15"/>
        <v>100.99999999999454</v>
      </c>
      <c r="L96" s="43"/>
      <c r="N96" s="52">
        <v>37597</v>
      </c>
      <c r="O96" s="52">
        <v>41123</v>
      </c>
      <c r="P96" s="52">
        <v>321</v>
      </c>
      <c r="Q96" s="52"/>
      <c r="R96" s="52">
        <v>13772</v>
      </c>
      <c r="S96" s="95">
        <v>517.4</v>
      </c>
      <c r="T96" s="95"/>
      <c r="U96" s="95"/>
      <c r="V96" s="52">
        <v>79645</v>
      </c>
      <c r="W96" s="52">
        <v>92844</v>
      </c>
      <c r="X96" s="52">
        <v>54797</v>
      </c>
      <c r="Y96" s="52">
        <v>92778</v>
      </c>
      <c r="Z96" s="52">
        <v>92512</v>
      </c>
    </row>
    <row r="97" spans="1:26" ht="18" hidden="1" customHeight="1" x14ac:dyDescent="0.2">
      <c r="A97" s="46">
        <v>42948</v>
      </c>
      <c r="B97" s="47" t="s">
        <v>97</v>
      </c>
      <c r="C97" s="48">
        <f>(V98-V97)*1+(W98-W97)*32+(X98-X97)*12+(Y98-Y97)*6</f>
        <v>2211</v>
      </c>
      <c r="D97" s="99">
        <f t="shared" si="14"/>
        <v>1536</v>
      </c>
      <c r="E97" s="45">
        <f t="shared" si="17"/>
        <v>708.99999999999454</v>
      </c>
      <c r="F97" s="45">
        <f t="shared" si="21"/>
        <v>96</v>
      </c>
      <c r="G97" s="79">
        <f t="shared" si="22"/>
        <v>4551.9999999999945</v>
      </c>
      <c r="H97" s="77">
        <v>3816</v>
      </c>
      <c r="I97" s="77">
        <v>930</v>
      </c>
      <c r="J97" s="80">
        <f t="shared" si="16"/>
        <v>4746</v>
      </c>
      <c r="K97" s="81">
        <f t="shared" si="15"/>
        <v>194.00000000000546</v>
      </c>
      <c r="L97" s="43"/>
      <c r="N97" s="52">
        <v>37797</v>
      </c>
      <c r="O97" s="52">
        <v>41798</v>
      </c>
      <c r="P97" s="52">
        <v>330</v>
      </c>
      <c r="Q97" s="52"/>
      <c r="R97" s="52">
        <v>13786</v>
      </c>
      <c r="S97" s="95">
        <v>524.1</v>
      </c>
      <c r="T97" s="95"/>
      <c r="U97" s="95"/>
      <c r="V97" s="52">
        <v>79879</v>
      </c>
      <c r="W97" s="52">
        <v>92887</v>
      </c>
      <c r="X97" s="52">
        <v>54847</v>
      </c>
      <c r="Y97" s="52">
        <v>92778</v>
      </c>
      <c r="Z97" s="52">
        <v>92594</v>
      </c>
    </row>
    <row r="98" spans="1:26" ht="18" hidden="1" customHeight="1" x14ac:dyDescent="0.2">
      <c r="A98" s="46">
        <v>42949</v>
      </c>
      <c r="B98" s="47" t="s">
        <v>98</v>
      </c>
      <c r="C98" s="48">
        <f>(V99-V98)*1+(W99-W98)*32+(X99-X98)*12+(Y99-Y98)*6</f>
        <v>2604</v>
      </c>
      <c r="D98" s="99">
        <f t="shared" si="14"/>
        <v>1352</v>
      </c>
      <c r="E98" s="45">
        <f t="shared" si="17"/>
        <v>698.00000000000546</v>
      </c>
      <c r="F98" s="45">
        <f t="shared" si="21"/>
        <v>94</v>
      </c>
      <c r="G98" s="79">
        <f t="shared" si="22"/>
        <v>4748.0000000000055</v>
      </c>
      <c r="H98" s="77">
        <v>4065</v>
      </c>
      <c r="I98" s="77">
        <v>878</v>
      </c>
      <c r="J98" s="80">
        <f t="shared" si="16"/>
        <v>4943</v>
      </c>
      <c r="K98" s="81">
        <f t="shared" si="15"/>
        <v>194.99999999999454</v>
      </c>
      <c r="L98" s="43"/>
      <c r="N98" s="52">
        <v>37977</v>
      </c>
      <c r="O98" s="52">
        <v>41860</v>
      </c>
      <c r="P98" s="52">
        <v>342</v>
      </c>
      <c r="Q98" s="52"/>
      <c r="R98" s="52">
        <v>13799</v>
      </c>
      <c r="S98" s="95">
        <v>529.9</v>
      </c>
      <c r="T98" s="95"/>
      <c r="U98" s="95"/>
      <c r="V98" s="52">
        <v>80118</v>
      </c>
      <c r="W98" s="52">
        <v>92931</v>
      </c>
      <c r="X98" s="52">
        <v>54894</v>
      </c>
      <c r="Y98" s="52">
        <v>92778</v>
      </c>
      <c r="Z98" s="52">
        <v>92690</v>
      </c>
    </row>
    <row r="99" spans="1:26" ht="18" hidden="1" customHeight="1" x14ac:dyDescent="0.2">
      <c r="A99" s="46">
        <v>42950</v>
      </c>
      <c r="B99" s="47" t="s">
        <v>99</v>
      </c>
      <c r="C99" s="48">
        <f>(V100-V99)*1+(W100-W99)*32+(X100-X99)*12+(Y100-Y99)*6</f>
        <v>2504</v>
      </c>
      <c r="D99" s="99">
        <f t="shared" si="14"/>
        <v>1264</v>
      </c>
      <c r="E99" s="45">
        <f t="shared" si="17"/>
        <v>721.99999999999727</v>
      </c>
      <c r="F99" s="45">
        <f t="shared" si="21"/>
        <v>82</v>
      </c>
      <c r="G99" s="79">
        <f t="shared" si="22"/>
        <v>4571.9999999999973</v>
      </c>
      <c r="H99" s="77">
        <v>3868</v>
      </c>
      <c r="I99" s="77">
        <v>859</v>
      </c>
      <c r="J99" s="80">
        <f t="shared" si="16"/>
        <v>4727</v>
      </c>
      <c r="K99" s="81">
        <f t="shared" si="15"/>
        <v>155.00000000000273</v>
      </c>
      <c r="L99" s="43"/>
      <c r="N99" s="52">
        <v>38137</v>
      </c>
      <c r="O99" s="52">
        <v>41921</v>
      </c>
      <c r="P99" s="52">
        <v>351</v>
      </c>
      <c r="Q99" s="52"/>
      <c r="R99" s="52">
        <v>13813</v>
      </c>
      <c r="S99" s="95">
        <v>535.6</v>
      </c>
      <c r="T99" s="95"/>
      <c r="U99" s="95"/>
      <c r="V99" s="52">
        <v>80390</v>
      </c>
      <c r="W99" s="52">
        <v>92984</v>
      </c>
      <c r="X99" s="52">
        <v>54947</v>
      </c>
      <c r="Y99" s="52">
        <v>92778</v>
      </c>
      <c r="Z99" s="52">
        <v>92784</v>
      </c>
    </row>
    <row r="100" spans="1:26" ht="18" hidden="1" customHeight="1" x14ac:dyDescent="0.2">
      <c r="A100" s="46">
        <v>42951</v>
      </c>
      <c r="B100" s="47" t="s">
        <v>100</v>
      </c>
      <c r="C100" s="48"/>
      <c r="D100" s="99">
        <f t="shared" si="14"/>
        <v>0</v>
      </c>
      <c r="E100" s="45">
        <f t="shared" si="17"/>
        <v>0</v>
      </c>
      <c r="F100" s="45">
        <f t="shared" si="21"/>
        <v>0</v>
      </c>
      <c r="G100" s="79">
        <f t="shared" si="22"/>
        <v>0</v>
      </c>
      <c r="H100" s="77">
        <v>3527</v>
      </c>
      <c r="I100" s="77">
        <v>788</v>
      </c>
      <c r="J100" s="80">
        <f t="shared" si="16"/>
        <v>4315</v>
      </c>
      <c r="K100" s="81"/>
      <c r="L100" s="43"/>
      <c r="N100" s="101">
        <v>38287</v>
      </c>
      <c r="O100" s="52">
        <v>41979</v>
      </c>
      <c r="P100" s="52">
        <v>359</v>
      </c>
      <c r="Q100" s="52"/>
      <c r="R100" s="52">
        <v>13827</v>
      </c>
      <c r="S100" s="95">
        <v>541.5</v>
      </c>
      <c r="T100" s="95"/>
      <c r="U100" s="95"/>
      <c r="V100" s="52">
        <v>80646</v>
      </c>
      <c r="W100" s="52">
        <v>93034</v>
      </c>
      <c r="X100" s="52">
        <v>55001</v>
      </c>
      <c r="Y100" s="52">
        <v>92778</v>
      </c>
      <c r="Z100" s="52">
        <v>92866</v>
      </c>
    </row>
    <row r="101" spans="1:26" ht="18" hidden="1" customHeight="1" x14ac:dyDescent="0.2">
      <c r="A101" s="46">
        <v>42952</v>
      </c>
      <c r="B101" s="47" t="s">
        <v>101</v>
      </c>
      <c r="C101" s="48"/>
      <c r="D101" s="99">
        <f t="shared" si="14"/>
        <v>0</v>
      </c>
      <c r="E101" s="45">
        <f t="shared" si="17"/>
        <v>0</v>
      </c>
      <c r="F101" s="45">
        <f t="shared" si="21"/>
        <v>0</v>
      </c>
      <c r="G101" s="79">
        <f t="shared" si="22"/>
        <v>0</v>
      </c>
      <c r="H101" s="77"/>
      <c r="I101" s="77">
        <f>1698+580</f>
        <v>2278</v>
      </c>
      <c r="J101" s="80">
        <f t="shared" si="16"/>
        <v>2278</v>
      </c>
      <c r="K101" s="81"/>
      <c r="L101" s="43"/>
      <c r="N101" s="55">
        <v>38287</v>
      </c>
      <c r="O101" s="55">
        <v>41979</v>
      </c>
      <c r="P101" s="55">
        <v>359</v>
      </c>
      <c r="Q101" s="55"/>
      <c r="R101" s="55">
        <v>13827</v>
      </c>
      <c r="S101" s="96">
        <v>541.5</v>
      </c>
      <c r="T101" s="96"/>
      <c r="U101" s="96"/>
      <c r="V101" s="55">
        <v>80646</v>
      </c>
      <c r="W101" s="55">
        <v>93034</v>
      </c>
      <c r="X101" s="55">
        <v>55001</v>
      </c>
      <c r="Y101" s="55">
        <v>92778</v>
      </c>
      <c r="Z101" s="55">
        <v>92866</v>
      </c>
    </row>
    <row r="102" spans="1:26" ht="18" hidden="1" customHeight="1" x14ac:dyDescent="0.2">
      <c r="A102" s="46">
        <v>42953</v>
      </c>
      <c r="B102" s="47" t="s">
        <v>95</v>
      </c>
      <c r="C102" s="48">
        <f>(V103-V102)*1+(W103-W102)*32+(X103-X102)*12+(Y103-Y102)*6</f>
        <v>3234</v>
      </c>
      <c r="D102" s="99">
        <f t="shared" si="14"/>
        <v>2144</v>
      </c>
      <c r="E102" s="45">
        <f t="shared" si="17"/>
        <v>2384</v>
      </c>
      <c r="F102" s="45">
        <f t="shared" si="21"/>
        <v>305</v>
      </c>
      <c r="G102" s="79">
        <f t="shared" si="22"/>
        <v>8067</v>
      </c>
      <c r="H102" s="77"/>
      <c r="I102" s="77">
        <v>1831</v>
      </c>
      <c r="J102" s="80">
        <f t="shared" si="16"/>
        <v>1831</v>
      </c>
      <c r="K102" s="81">
        <f>J100+J101+J102-G102</f>
        <v>357</v>
      </c>
      <c r="L102" s="43"/>
      <c r="N102" s="55">
        <v>38287</v>
      </c>
      <c r="O102" s="55">
        <v>41979</v>
      </c>
      <c r="P102" s="55">
        <v>359</v>
      </c>
      <c r="Q102" s="55"/>
      <c r="R102" s="55">
        <v>13827</v>
      </c>
      <c r="S102" s="96">
        <v>541.5</v>
      </c>
      <c r="T102" s="96"/>
      <c r="U102" s="96"/>
      <c r="V102" s="55">
        <v>80646</v>
      </c>
      <c r="W102" s="55">
        <v>93034</v>
      </c>
      <c r="X102" s="55">
        <v>55001</v>
      </c>
      <c r="Y102" s="55">
        <v>92778</v>
      </c>
      <c r="Z102" s="55">
        <v>92866</v>
      </c>
    </row>
    <row r="103" spans="1:26" ht="18" hidden="1" customHeight="1" x14ac:dyDescent="0.2">
      <c r="A103" s="46">
        <v>42954</v>
      </c>
      <c r="B103" s="47" t="s">
        <v>96</v>
      </c>
      <c r="C103" s="48">
        <f>(V104-V103)*1+(W104-W103)*32+(X104-X103)*12+(Y104-Y103)*6</f>
        <v>2460</v>
      </c>
      <c r="D103" s="99">
        <f t="shared" si="14"/>
        <v>1192</v>
      </c>
      <c r="E103" s="45">
        <f t="shared" si="17"/>
        <v>771.99999999999454</v>
      </c>
      <c r="F103" s="45">
        <f>(Z104-Z103)*1</f>
        <v>95</v>
      </c>
      <c r="G103" s="79">
        <f>C103+D103+F103+E103</f>
        <v>4518.9999999999945</v>
      </c>
      <c r="H103" s="77">
        <v>3876</v>
      </c>
      <c r="I103" s="77">
        <v>801</v>
      </c>
      <c r="J103" s="80">
        <f t="shared" si="16"/>
        <v>4677</v>
      </c>
      <c r="K103" s="81">
        <f t="shared" si="15"/>
        <v>158.00000000000546</v>
      </c>
      <c r="L103" s="43"/>
      <c r="N103" s="52">
        <v>38537</v>
      </c>
      <c r="O103" s="52">
        <v>42075</v>
      </c>
      <c r="P103" s="52">
        <v>377</v>
      </c>
      <c r="Q103" s="52"/>
      <c r="R103" s="52">
        <v>13871</v>
      </c>
      <c r="S103" s="95">
        <v>561</v>
      </c>
      <c r="T103" s="95"/>
      <c r="U103" s="95"/>
      <c r="V103" s="52">
        <v>81172</v>
      </c>
      <c r="W103" s="52">
        <v>93104</v>
      </c>
      <c r="X103" s="52">
        <v>55040</v>
      </c>
      <c r="Y103" s="52">
        <v>92778</v>
      </c>
      <c r="Z103" s="52">
        <v>93171</v>
      </c>
    </row>
    <row r="104" spans="1:26" ht="18" hidden="1" customHeight="1" x14ac:dyDescent="0.2">
      <c r="A104" s="46">
        <v>42955</v>
      </c>
      <c r="B104" s="47" t="s">
        <v>97</v>
      </c>
      <c r="C104" s="48">
        <f>(V105-V104)*1+(W105-W104)*32+(X105-X104)*12+(Y105-Y104)*6</f>
        <v>2348</v>
      </c>
      <c r="D104" s="99">
        <f t="shared" si="14"/>
        <v>1264</v>
      </c>
      <c r="E104" s="45">
        <f t="shared" si="17"/>
        <v>773.00000000000819</v>
      </c>
      <c r="F104" s="45">
        <f>(Z105-Z104)*1</f>
        <v>86</v>
      </c>
      <c r="G104" s="79">
        <f>C104+D104+F104+E104</f>
        <v>4471.0000000000082</v>
      </c>
      <c r="H104" s="77">
        <v>3744</v>
      </c>
      <c r="I104" s="77">
        <v>839</v>
      </c>
      <c r="J104" s="80">
        <f t="shared" si="16"/>
        <v>4583</v>
      </c>
      <c r="K104" s="81">
        <f t="shared" si="15"/>
        <v>111.99999999999181</v>
      </c>
      <c r="L104" s="43"/>
      <c r="N104" s="52">
        <v>38677</v>
      </c>
      <c r="O104" s="52">
        <v>42130</v>
      </c>
      <c r="P104" s="52">
        <v>386</v>
      </c>
      <c r="Q104" s="52"/>
      <c r="R104" s="52">
        <v>13887</v>
      </c>
      <c r="S104" s="95">
        <v>567.29999999999995</v>
      </c>
      <c r="T104" s="95"/>
      <c r="U104" s="95"/>
      <c r="V104" s="52">
        <v>81432</v>
      </c>
      <c r="W104" s="52">
        <v>93151</v>
      </c>
      <c r="X104" s="52">
        <v>55098</v>
      </c>
      <c r="Y104" s="52">
        <v>92778</v>
      </c>
      <c r="Z104" s="52">
        <v>93266</v>
      </c>
    </row>
    <row r="105" spans="1:26" ht="18" hidden="1" customHeight="1" x14ac:dyDescent="0.2">
      <c r="A105" s="46">
        <v>42956</v>
      </c>
      <c r="B105" s="47" t="s">
        <v>98</v>
      </c>
      <c r="C105" s="48">
        <f>(V106-V105)*1+(W106-W105)*32+(X106-X105)*12+(Y106-Y105)*6</f>
        <v>2374</v>
      </c>
      <c r="D105" s="99">
        <f t="shared" si="14"/>
        <v>1264</v>
      </c>
      <c r="E105" s="45">
        <f t="shared" si="17"/>
        <v>794</v>
      </c>
      <c r="F105" s="45">
        <f>(Z106-Z105)*1</f>
        <v>110</v>
      </c>
      <c r="G105" s="79">
        <f>C105+D105+F105+E105</f>
        <v>4542</v>
      </c>
      <c r="H105" s="77">
        <v>3771</v>
      </c>
      <c r="I105" s="77">
        <v>826</v>
      </c>
      <c r="J105" s="80">
        <f t="shared" si="16"/>
        <v>4597</v>
      </c>
      <c r="K105" s="81">
        <f t="shared" si="15"/>
        <v>55</v>
      </c>
      <c r="L105" s="43"/>
      <c r="N105" s="52">
        <v>38827</v>
      </c>
      <c r="O105" s="52">
        <v>42186</v>
      </c>
      <c r="P105" s="52">
        <v>394</v>
      </c>
      <c r="Q105" s="52"/>
      <c r="R105" s="52">
        <v>13904</v>
      </c>
      <c r="S105" s="95">
        <v>573.6</v>
      </c>
      <c r="T105" s="95"/>
      <c r="U105" s="95"/>
      <c r="V105" s="52">
        <v>81684</v>
      </c>
      <c r="W105" s="52">
        <v>93197</v>
      </c>
      <c r="X105" s="52">
        <v>55150</v>
      </c>
      <c r="Y105" s="52">
        <v>92778</v>
      </c>
      <c r="Z105" s="52">
        <v>93352</v>
      </c>
    </row>
    <row r="106" spans="1:26" ht="18" hidden="1" customHeight="1" x14ac:dyDescent="0.2">
      <c r="A106" s="46">
        <v>42957</v>
      </c>
      <c r="B106" s="47" t="s">
        <v>99</v>
      </c>
      <c r="C106" s="48">
        <f>(V107-V106)*1+(W107-W106)*32+(X107-X106)*12+(Y107-Y106)*6</f>
        <v>1861</v>
      </c>
      <c r="D106" s="99">
        <f t="shared" si="14"/>
        <v>1384</v>
      </c>
      <c r="E106" s="45">
        <f t="shared" si="17"/>
        <v>759.99999999999181</v>
      </c>
      <c r="F106" s="45">
        <f>(Z107-Z106)*1</f>
        <v>83</v>
      </c>
      <c r="G106" s="79">
        <f>C106+D106+F106+E106</f>
        <v>4087.9999999999918</v>
      </c>
      <c r="H106" s="77">
        <v>3580</v>
      </c>
      <c r="I106" s="77">
        <v>850</v>
      </c>
      <c r="J106" s="80">
        <f t="shared" si="16"/>
        <v>4430</v>
      </c>
      <c r="K106" s="81">
        <f>J106-G106</f>
        <v>342.00000000000819</v>
      </c>
      <c r="L106" s="43"/>
      <c r="N106" s="52">
        <v>38977</v>
      </c>
      <c r="O106" s="52">
        <v>42243</v>
      </c>
      <c r="P106" s="52">
        <v>402</v>
      </c>
      <c r="Q106" s="52"/>
      <c r="R106" s="52">
        <v>13918</v>
      </c>
      <c r="S106" s="95">
        <v>580.1</v>
      </c>
      <c r="T106" s="95"/>
      <c r="U106" s="95"/>
      <c r="V106" s="52">
        <v>81934</v>
      </c>
      <c r="W106" s="52">
        <v>93245</v>
      </c>
      <c r="X106" s="52">
        <v>55199</v>
      </c>
      <c r="Y106" s="52">
        <v>92778</v>
      </c>
      <c r="Z106" s="52">
        <v>93462</v>
      </c>
    </row>
    <row r="107" spans="1:26" ht="18" hidden="1" customHeight="1" x14ac:dyDescent="0.2">
      <c r="A107" s="46">
        <v>42958</v>
      </c>
      <c r="B107" s="47" t="s">
        <v>100</v>
      </c>
      <c r="C107" s="48"/>
      <c r="D107" s="99">
        <v>0</v>
      </c>
      <c r="E107" s="45">
        <v>0</v>
      </c>
      <c r="F107" s="45">
        <v>0</v>
      </c>
      <c r="G107" s="79">
        <v>0</v>
      </c>
      <c r="H107" s="77">
        <v>3871</v>
      </c>
      <c r="I107" s="77">
        <v>836</v>
      </c>
      <c r="J107" s="80">
        <f t="shared" si="16"/>
        <v>4707</v>
      </c>
      <c r="K107" s="81"/>
      <c r="L107" s="43"/>
      <c r="N107" s="52">
        <v>39137</v>
      </c>
      <c r="O107" s="52">
        <v>42304</v>
      </c>
      <c r="P107" s="52">
        <v>415</v>
      </c>
      <c r="Q107" s="52"/>
      <c r="R107" s="52">
        <v>13934</v>
      </c>
      <c r="S107" s="95">
        <v>586.29999999999995</v>
      </c>
      <c r="T107" s="95"/>
      <c r="U107" s="95"/>
      <c r="V107" s="52">
        <v>82175</v>
      </c>
      <c r="W107" s="52">
        <v>93284</v>
      </c>
      <c r="X107" s="52">
        <v>55230</v>
      </c>
      <c r="Y107" s="52">
        <v>92778</v>
      </c>
      <c r="Z107" s="52">
        <v>93545</v>
      </c>
    </row>
    <row r="108" spans="1:26" ht="18" hidden="1" customHeight="1" x14ac:dyDescent="0.2">
      <c r="A108" s="46">
        <v>42959</v>
      </c>
      <c r="B108" s="56" t="s">
        <v>103</v>
      </c>
      <c r="C108" s="48"/>
      <c r="D108" s="99">
        <v>0</v>
      </c>
      <c r="E108" s="45">
        <v>0</v>
      </c>
      <c r="F108" s="45">
        <v>0</v>
      </c>
      <c r="G108" s="79">
        <v>0</v>
      </c>
      <c r="H108" s="77"/>
      <c r="I108" s="77">
        <v>2779</v>
      </c>
      <c r="J108" s="80">
        <f t="shared" si="16"/>
        <v>2779</v>
      </c>
      <c r="K108" s="81"/>
      <c r="L108" s="43"/>
      <c r="N108" s="55">
        <v>39137</v>
      </c>
      <c r="O108" s="55">
        <v>42304</v>
      </c>
      <c r="P108" s="55">
        <v>415</v>
      </c>
      <c r="Q108" s="55"/>
      <c r="R108" s="55">
        <v>13934</v>
      </c>
      <c r="S108" s="96">
        <v>586.29999999999995</v>
      </c>
      <c r="T108" s="96"/>
      <c r="U108" s="96"/>
      <c r="V108" s="55">
        <v>82175</v>
      </c>
      <c r="W108" s="55">
        <v>93284</v>
      </c>
      <c r="X108" s="55">
        <v>55230</v>
      </c>
      <c r="Y108" s="55">
        <v>92778</v>
      </c>
      <c r="Z108" s="55">
        <v>93545</v>
      </c>
    </row>
    <row r="109" spans="1:26" ht="18" hidden="1" customHeight="1" x14ac:dyDescent="0.2">
      <c r="A109" s="46">
        <v>42960</v>
      </c>
      <c r="B109" s="56" t="s">
        <v>104</v>
      </c>
      <c r="C109" s="48">
        <f t="shared" ref="C109:C116" si="23">(V110-V109)*1+(W110-W109)*32+(X110-X109)*12+(Y110-Y109)*6</f>
        <v>4116</v>
      </c>
      <c r="D109" s="99">
        <f t="shared" ref="D109:D148" si="24">(N110-N109)*8+(P110-P109)*8</f>
        <v>3624</v>
      </c>
      <c r="E109" s="45">
        <f t="shared" ref="E109:E148" si="25">(R110-R109)*1+(S110-S109)*120</f>
        <v>2588</v>
      </c>
      <c r="F109" s="45">
        <f t="shared" ref="F109:F116" si="26">(Z110-Z109)*1</f>
        <v>328</v>
      </c>
      <c r="G109" s="79">
        <f t="shared" ref="G109:G116" si="27">C109+D109+F109+E109</f>
        <v>10656</v>
      </c>
      <c r="H109" s="77"/>
      <c r="I109" s="77">
        <v>2818</v>
      </c>
      <c r="J109" s="80">
        <f t="shared" si="16"/>
        <v>2818</v>
      </c>
      <c r="K109" s="81">
        <f>J107+J108+J109-G109</f>
        <v>-352</v>
      </c>
      <c r="L109" s="43"/>
      <c r="N109" s="55">
        <v>39137</v>
      </c>
      <c r="O109" s="55">
        <v>42304</v>
      </c>
      <c r="P109" s="55">
        <v>415</v>
      </c>
      <c r="Q109" s="55"/>
      <c r="R109" s="55">
        <v>13934</v>
      </c>
      <c r="S109" s="96">
        <v>586.29999999999995</v>
      </c>
      <c r="T109" s="96"/>
      <c r="U109" s="96"/>
      <c r="V109" s="55">
        <v>82175</v>
      </c>
      <c r="W109" s="55">
        <v>93284</v>
      </c>
      <c r="X109" s="55">
        <v>55230</v>
      </c>
      <c r="Y109" s="55">
        <v>92778</v>
      </c>
      <c r="Z109" s="55">
        <v>93545</v>
      </c>
    </row>
    <row r="110" spans="1:26" ht="18" hidden="1" customHeight="1" x14ac:dyDescent="0.2">
      <c r="A110" s="46">
        <v>42961</v>
      </c>
      <c r="B110" s="47" t="s">
        <v>96</v>
      </c>
      <c r="C110" s="48">
        <f t="shared" si="23"/>
        <v>2270</v>
      </c>
      <c r="D110" s="99">
        <f t="shared" si="24"/>
        <v>1352</v>
      </c>
      <c r="E110" s="45">
        <f t="shared" si="25"/>
        <v>973.00000000001091</v>
      </c>
      <c r="F110" s="45">
        <f t="shared" si="26"/>
        <v>94</v>
      </c>
      <c r="G110" s="79">
        <f t="shared" si="27"/>
        <v>4689.0000000000109</v>
      </c>
      <c r="H110" s="77">
        <v>3939</v>
      </c>
      <c r="I110" s="77">
        <v>754</v>
      </c>
      <c r="J110" s="80">
        <f t="shared" si="16"/>
        <v>4693</v>
      </c>
      <c r="K110" s="81">
        <f t="shared" si="15"/>
        <v>3.9999999999890861</v>
      </c>
      <c r="L110" s="43"/>
      <c r="N110" s="52">
        <v>39567</v>
      </c>
      <c r="O110" s="52">
        <v>42421</v>
      </c>
      <c r="P110" s="52">
        <v>438</v>
      </c>
      <c r="Q110" s="52"/>
      <c r="R110" s="52">
        <v>14002</v>
      </c>
      <c r="S110" s="95">
        <v>607.29999999999995</v>
      </c>
      <c r="T110" s="95"/>
      <c r="U110" s="95"/>
      <c r="V110" s="52">
        <v>83023</v>
      </c>
      <c r="W110" s="52">
        <v>93367</v>
      </c>
      <c r="X110" s="52">
        <v>55281</v>
      </c>
      <c r="Y110" s="52">
        <v>92778</v>
      </c>
      <c r="Z110" s="52">
        <v>93873</v>
      </c>
    </row>
    <row r="111" spans="1:26" ht="18" hidden="1" customHeight="1" x14ac:dyDescent="0.2">
      <c r="A111" s="46">
        <v>42962</v>
      </c>
      <c r="B111" s="47" t="s">
        <v>97</v>
      </c>
      <c r="C111" s="48">
        <f t="shared" si="23"/>
        <v>2201</v>
      </c>
      <c r="D111" s="99">
        <f t="shared" si="24"/>
        <v>1184</v>
      </c>
      <c r="E111" s="45">
        <f t="shared" si="25"/>
        <v>960.99999999999454</v>
      </c>
      <c r="F111" s="45">
        <f t="shared" si="26"/>
        <v>109</v>
      </c>
      <c r="G111" s="79">
        <f t="shared" si="27"/>
        <v>4454.9999999999945</v>
      </c>
      <c r="H111" s="77">
        <v>3790</v>
      </c>
      <c r="I111" s="77">
        <v>819</v>
      </c>
      <c r="J111" s="80">
        <f t="shared" si="16"/>
        <v>4609</v>
      </c>
      <c r="K111" s="81">
        <f t="shared" si="15"/>
        <v>154.00000000000546</v>
      </c>
      <c r="L111" s="43"/>
      <c r="N111" s="52">
        <v>39727</v>
      </c>
      <c r="O111" s="52">
        <v>42478</v>
      </c>
      <c r="P111" s="52">
        <v>447</v>
      </c>
      <c r="Q111" s="52"/>
      <c r="R111" s="52">
        <v>14027</v>
      </c>
      <c r="S111" s="95">
        <v>615.20000000000005</v>
      </c>
      <c r="T111" s="95"/>
      <c r="U111" s="95"/>
      <c r="V111" s="52">
        <v>83265</v>
      </c>
      <c r="W111" s="52">
        <v>93412</v>
      </c>
      <c r="X111" s="52">
        <v>55330</v>
      </c>
      <c r="Y111" s="52">
        <v>92778</v>
      </c>
      <c r="Z111" s="52">
        <v>93967</v>
      </c>
    </row>
    <row r="112" spans="1:26" ht="18" hidden="1" customHeight="1" x14ac:dyDescent="0.2">
      <c r="A112" s="46">
        <v>42963</v>
      </c>
      <c r="B112" s="47" t="s">
        <v>98</v>
      </c>
      <c r="C112" s="48">
        <f t="shared" si="23"/>
        <v>2231</v>
      </c>
      <c r="D112" s="99">
        <f t="shared" si="24"/>
        <v>232</v>
      </c>
      <c r="E112" s="45">
        <f t="shared" si="25"/>
        <v>849.99999999999727</v>
      </c>
      <c r="F112" s="45">
        <f t="shared" si="26"/>
        <v>88</v>
      </c>
      <c r="G112" s="79">
        <f t="shared" si="27"/>
        <v>3400.9999999999973</v>
      </c>
      <c r="H112" s="77">
        <v>3529</v>
      </c>
      <c r="I112" s="77">
        <v>817</v>
      </c>
      <c r="J112" s="80">
        <f t="shared" si="16"/>
        <v>4346</v>
      </c>
      <c r="K112" s="81">
        <f t="shared" si="15"/>
        <v>945.00000000000273</v>
      </c>
      <c r="L112" s="43"/>
      <c r="N112" s="52">
        <v>39867</v>
      </c>
      <c r="O112" s="52">
        <v>42528</v>
      </c>
      <c r="P112" s="52">
        <v>455</v>
      </c>
      <c r="Q112" s="52"/>
      <c r="R112" s="52">
        <v>14052</v>
      </c>
      <c r="S112" s="95">
        <v>623</v>
      </c>
      <c r="T112" s="95"/>
      <c r="U112" s="95"/>
      <c r="V112" s="52">
        <v>83530</v>
      </c>
      <c r="W112" s="52">
        <v>93459</v>
      </c>
      <c r="X112" s="52">
        <v>55366</v>
      </c>
      <c r="Y112" s="52">
        <v>92778</v>
      </c>
      <c r="Z112" s="52">
        <v>94076</v>
      </c>
    </row>
    <row r="113" spans="1:26" ht="18" hidden="1" customHeight="1" x14ac:dyDescent="0.2">
      <c r="A113" s="46">
        <v>42964</v>
      </c>
      <c r="B113" s="47" t="s">
        <v>99</v>
      </c>
      <c r="C113" s="48">
        <f t="shared" si="23"/>
        <v>0</v>
      </c>
      <c r="D113" s="99">
        <f t="shared" si="24"/>
        <v>0</v>
      </c>
      <c r="E113" s="45">
        <f t="shared" si="25"/>
        <v>0</v>
      </c>
      <c r="F113" s="45">
        <f t="shared" si="26"/>
        <v>0</v>
      </c>
      <c r="G113" s="79">
        <f t="shared" si="27"/>
        <v>0</v>
      </c>
      <c r="H113" s="77">
        <v>3564</v>
      </c>
      <c r="I113" s="77">
        <v>829</v>
      </c>
      <c r="J113" s="80">
        <f t="shared" si="16"/>
        <v>4393</v>
      </c>
      <c r="K113" s="81"/>
      <c r="L113" s="43"/>
      <c r="N113" s="52">
        <v>39887</v>
      </c>
      <c r="O113" s="52">
        <v>42569</v>
      </c>
      <c r="P113" s="52">
        <v>464</v>
      </c>
      <c r="Q113" s="52"/>
      <c r="R113" s="52">
        <v>14074</v>
      </c>
      <c r="S113" s="95">
        <v>629.9</v>
      </c>
      <c r="T113" s="95"/>
      <c r="U113" s="95"/>
      <c r="V113" s="52">
        <v>83793</v>
      </c>
      <c r="W113" s="52">
        <v>93507</v>
      </c>
      <c r="X113" s="52">
        <v>55402</v>
      </c>
      <c r="Y113" s="52">
        <v>92778</v>
      </c>
      <c r="Z113" s="52">
        <v>94164</v>
      </c>
    </row>
    <row r="114" spans="1:26" ht="18" hidden="1" customHeight="1" x14ac:dyDescent="0.2">
      <c r="A114" s="46">
        <v>42965</v>
      </c>
      <c r="B114" s="47" t="s">
        <v>100</v>
      </c>
      <c r="C114" s="48">
        <f t="shared" si="23"/>
        <v>0</v>
      </c>
      <c r="D114" s="99">
        <f t="shared" si="24"/>
        <v>0</v>
      </c>
      <c r="E114" s="45">
        <f t="shared" si="25"/>
        <v>0</v>
      </c>
      <c r="F114" s="45">
        <f t="shared" si="26"/>
        <v>0</v>
      </c>
      <c r="G114" s="79">
        <f t="shared" si="27"/>
        <v>0</v>
      </c>
      <c r="H114" s="77">
        <v>3611</v>
      </c>
      <c r="I114" s="77">
        <v>733</v>
      </c>
      <c r="J114" s="80">
        <f t="shared" si="16"/>
        <v>4344</v>
      </c>
      <c r="K114" s="81"/>
      <c r="L114" s="43"/>
      <c r="N114" s="55">
        <v>39887</v>
      </c>
      <c r="O114" s="55">
        <v>42569</v>
      </c>
      <c r="P114" s="55">
        <v>464</v>
      </c>
      <c r="Q114" s="55"/>
      <c r="R114" s="55">
        <v>14074</v>
      </c>
      <c r="S114" s="96">
        <v>629.9</v>
      </c>
      <c r="T114" s="96"/>
      <c r="U114" s="96"/>
      <c r="V114" s="55">
        <v>83793</v>
      </c>
      <c r="W114" s="55">
        <v>93507</v>
      </c>
      <c r="X114" s="55">
        <v>55402</v>
      </c>
      <c r="Y114" s="55">
        <v>92778</v>
      </c>
      <c r="Z114" s="55">
        <v>94164</v>
      </c>
    </row>
    <row r="115" spans="1:26" ht="18" hidden="1" customHeight="1" x14ac:dyDescent="0.2">
      <c r="A115" s="46">
        <v>42966</v>
      </c>
      <c r="B115" s="47" t="s">
        <v>101</v>
      </c>
      <c r="C115" s="48">
        <f t="shared" si="23"/>
        <v>0</v>
      </c>
      <c r="D115" s="99">
        <f t="shared" si="24"/>
        <v>0</v>
      </c>
      <c r="E115" s="45">
        <f t="shared" si="25"/>
        <v>0</v>
      </c>
      <c r="F115" s="45">
        <f t="shared" si="26"/>
        <v>0</v>
      </c>
      <c r="G115" s="79">
        <f t="shared" si="27"/>
        <v>0</v>
      </c>
      <c r="H115" s="77"/>
      <c r="I115" s="77">
        <f>1296+336</f>
        <v>1632</v>
      </c>
      <c r="J115" s="80">
        <f t="shared" si="16"/>
        <v>1632</v>
      </c>
      <c r="K115" s="81"/>
      <c r="L115" s="43"/>
      <c r="N115" s="55">
        <v>39887</v>
      </c>
      <c r="O115" s="55">
        <v>42569</v>
      </c>
      <c r="P115" s="55">
        <v>464</v>
      </c>
      <c r="Q115" s="55"/>
      <c r="R115" s="55">
        <v>14074</v>
      </c>
      <c r="S115" s="96">
        <v>629.9</v>
      </c>
      <c r="T115" s="96"/>
      <c r="U115" s="96"/>
      <c r="V115" s="55">
        <v>83793</v>
      </c>
      <c r="W115" s="55">
        <v>93507</v>
      </c>
      <c r="X115" s="55">
        <v>55402</v>
      </c>
      <c r="Y115" s="55">
        <v>92778</v>
      </c>
      <c r="Z115" s="55">
        <v>94164</v>
      </c>
    </row>
    <row r="116" spans="1:26" ht="18" hidden="1" customHeight="1" x14ac:dyDescent="0.2">
      <c r="A116" s="46">
        <v>42967</v>
      </c>
      <c r="B116" s="47" t="s">
        <v>95</v>
      </c>
      <c r="C116" s="48">
        <f t="shared" si="23"/>
        <v>5636</v>
      </c>
      <c r="D116" s="99">
        <f t="shared" si="24"/>
        <v>2400</v>
      </c>
      <c r="E116" s="45">
        <f t="shared" si="25"/>
        <v>3433.0000000000082</v>
      </c>
      <c r="F116" s="45">
        <f t="shared" si="26"/>
        <v>449</v>
      </c>
      <c r="G116" s="79">
        <f t="shared" si="27"/>
        <v>11918.000000000007</v>
      </c>
      <c r="H116" s="77"/>
      <c r="I116" s="77">
        <v>2135</v>
      </c>
      <c r="J116" s="80">
        <f t="shared" si="16"/>
        <v>2135</v>
      </c>
      <c r="K116" s="81">
        <f>J116+J115+J114+J113-G116</f>
        <v>585.99999999999272</v>
      </c>
      <c r="L116" s="43"/>
      <c r="N116" s="55">
        <v>39887</v>
      </c>
      <c r="O116" s="55">
        <v>42569</v>
      </c>
      <c r="P116" s="55">
        <v>464</v>
      </c>
      <c r="Q116" s="55"/>
      <c r="R116" s="55">
        <v>14074</v>
      </c>
      <c r="S116" s="96">
        <v>629.9</v>
      </c>
      <c r="T116" s="96"/>
      <c r="U116" s="96"/>
      <c r="V116" s="55">
        <v>83793</v>
      </c>
      <c r="W116" s="55">
        <v>93507</v>
      </c>
      <c r="X116" s="55">
        <v>55402</v>
      </c>
      <c r="Y116" s="55">
        <v>92778</v>
      </c>
      <c r="Z116" s="55">
        <v>94164</v>
      </c>
    </row>
    <row r="117" spans="1:26" ht="18" hidden="1" customHeight="1" x14ac:dyDescent="0.2">
      <c r="A117" s="46">
        <v>42968</v>
      </c>
      <c r="B117" s="47" t="s">
        <v>96</v>
      </c>
      <c r="C117" s="48">
        <f t="shared" ref="C117:C123" si="28">(V118-V117)*1+(W118-W117)*32+(X118-X117)*12+(Y118-Y117)*6</f>
        <v>2729</v>
      </c>
      <c r="D117" s="99">
        <f t="shared" si="24"/>
        <v>1064</v>
      </c>
      <c r="E117" s="45">
        <f t="shared" si="25"/>
        <v>912.99999999999727</v>
      </c>
      <c r="F117" s="45">
        <f t="shared" ref="F117:F123" si="29">(Z118-Z117)*1</f>
        <v>99</v>
      </c>
      <c r="G117" s="79">
        <f t="shared" ref="G117:G123" si="30">C117+D117+F117+E117</f>
        <v>4804.9999999999973</v>
      </c>
      <c r="H117" s="77">
        <v>4246</v>
      </c>
      <c r="I117" s="77">
        <v>751</v>
      </c>
      <c r="J117" s="80">
        <f t="shared" si="16"/>
        <v>4997</v>
      </c>
      <c r="K117" s="81">
        <f t="shared" si="15"/>
        <v>192.00000000000273</v>
      </c>
      <c r="L117" s="43"/>
      <c r="N117" s="52">
        <v>40157</v>
      </c>
      <c r="O117" s="52">
        <v>42666</v>
      </c>
      <c r="P117" s="52">
        <v>494</v>
      </c>
      <c r="Q117" s="52"/>
      <c r="R117" s="52">
        <v>14171</v>
      </c>
      <c r="S117" s="95">
        <v>657.7</v>
      </c>
      <c r="T117" s="95"/>
      <c r="U117" s="95"/>
      <c r="V117" s="52">
        <v>84593</v>
      </c>
      <c r="W117" s="52">
        <v>93621</v>
      </c>
      <c r="X117" s="52">
        <v>55501</v>
      </c>
      <c r="Y117" s="52">
        <v>92778</v>
      </c>
      <c r="Z117" s="52">
        <v>94613</v>
      </c>
    </row>
    <row r="118" spans="1:26" ht="18" hidden="1" customHeight="1" x14ac:dyDescent="0.2">
      <c r="A118" s="46">
        <v>42969</v>
      </c>
      <c r="B118" s="47" t="s">
        <v>97</v>
      </c>
      <c r="C118" s="48">
        <f t="shared" si="28"/>
        <v>2519</v>
      </c>
      <c r="D118" s="99">
        <f t="shared" si="24"/>
        <v>1112</v>
      </c>
      <c r="E118" s="45">
        <f t="shared" si="25"/>
        <v>837.99999999999454</v>
      </c>
      <c r="F118" s="45">
        <f t="shared" si="29"/>
        <v>94</v>
      </c>
      <c r="G118" s="79">
        <f t="shared" si="30"/>
        <v>4562.9999999999945</v>
      </c>
      <c r="H118" s="77">
        <v>3912</v>
      </c>
      <c r="I118" s="77">
        <v>771</v>
      </c>
      <c r="J118" s="80">
        <f t="shared" si="16"/>
        <v>4683</v>
      </c>
      <c r="K118" s="81">
        <f t="shared" si="15"/>
        <v>120.00000000000546</v>
      </c>
      <c r="L118" s="43"/>
      <c r="N118" s="52">
        <v>40277</v>
      </c>
      <c r="O118" s="52">
        <v>42712</v>
      </c>
      <c r="P118" s="52">
        <v>507</v>
      </c>
      <c r="Q118" s="52"/>
      <c r="R118" s="52">
        <v>14196</v>
      </c>
      <c r="S118" s="95">
        <v>665.1</v>
      </c>
      <c r="T118" s="95"/>
      <c r="U118" s="95"/>
      <c r="V118" s="52">
        <v>84858</v>
      </c>
      <c r="W118" s="52">
        <v>93674</v>
      </c>
      <c r="X118" s="52">
        <v>55565</v>
      </c>
      <c r="Y118" s="52">
        <v>92778</v>
      </c>
      <c r="Z118" s="52">
        <v>94712</v>
      </c>
    </row>
    <row r="119" spans="1:26" ht="18" hidden="1" customHeight="1" x14ac:dyDescent="0.2">
      <c r="A119" s="46">
        <v>42970</v>
      </c>
      <c r="B119" s="47" t="s">
        <v>98</v>
      </c>
      <c r="C119" s="48">
        <f t="shared" si="28"/>
        <v>2635</v>
      </c>
      <c r="D119" s="99">
        <f t="shared" si="24"/>
        <v>1024</v>
      </c>
      <c r="E119" s="45">
        <f t="shared" si="25"/>
        <v>850.99999999999727</v>
      </c>
      <c r="F119" s="45">
        <f t="shared" si="29"/>
        <v>105</v>
      </c>
      <c r="G119" s="79">
        <f t="shared" si="30"/>
        <v>4614.9999999999973</v>
      </c>
      <c r="H119" s="77">
        <v>4009</v>
      </c>
      <c r="I119" s="77">
        <v>768</v>
      </c>
      <c r="J119" s="80">
        <f t="shared" si="16"/>
        <v>4777</v>
      </c>
      <c r="K119" s="81">
        <f t="shared" si="15"/>
        <v>162.00000000000273</v>
      </c>
      <c r="L119" s="43"/>
      <c r="N119" s="52">
        <v>40407</v>
      </c>
      <c r="O119" s="52">
        <v>42760</v>
      </c>
      <c r="P119" s="52">
        <v>516</v>
      </c>
      <c r="Q119" s="52"/>
      <c r="R119" s="52">
        <v>14218</v>
      </c>
      <c r="S119" s="95">
        <v>671.9</v>
      </c>
      <c r="T119" s="95"/>
      <c r="U119" s="95"/>
      <c r="V119" s="52">
        <v>85101</v>
      </c>
      <c r="W119" s="52">
        <v>93723</v>
      </c>
      <c r="X119" s="52">
        <v>55624</v>
      </c>
      <c r="Y119" s="52">
        <v>92778</v>
      </c>
      <c r="Z119" s="52">
        <v>94806</v>
      </c>
    </row>
    <row r="120" spans="1:26" ht="18" hidden="1" customHeight="1" x14ac:dyDescent="0.2">
      <c r="A120" s="46">
        <v>42971</v>
      </c>
      <c r="B120" s="47" t="s">
        <v>99</v>
      </c>
      <c r="C120" s="48">
        <f t="shared" si="28"/>
        <v>2546</v>
      </c>
      <c r="D120" s="99">
        <f t="shared" si="24"/>
        <v>1112</v>
      </c>
      <c r="E120" s="45">
        <f t="shared" si="25"/>
        <v>791.00000000001091</v>
      </c>
      <c r="F120" s="45">
        <f t="shared" si="29"/>
        <v>100</v>
      </c>
      <c r="G120" s="79">
        <f t="shared" si="30"/>
        <v>4549.0000000000109</v>
      </c>
      <c r="H120" s="77">
        <v>3878</v>
      </c>
      <c r="I120" s="77">
        <v>772</v>
      </c>
      <c r="J120" s="80">
        <f t="shared" si="16"/>
        <v>4650</v>
      </c>
      <c r="K120" s="81">
        <f t="shared" si="15"/>
        <v>100.99999999998909</v>
      </c>
      <c r="L120" s="43"/>
      <c r="N120" s="52">
        <v>40527</v>
      </c>
      <c r="O120" s="52">
        <v>42809</v>
      </c>
      <c r="P120" s="52">
        <v>524</v>
      </c>
      <c r="Q120" s="52"/>
      <c r="R120" s="52">
        <v>14241</v>
      </c>
      <c r="S120" s="95">
        <v>678.8</v>
      </c>
      <c r="T120" s="95"/>
      <c r="U120" s="95"/>
      <c r="V120" s="52">
        <v>85360</v>
      </c>
      <c r="W120" s="52">
        <v>93774</v>
      </c>
      <c r="X120" s="52">
        <v>55686</v>
      </c>
      <c r="Y120" s="52">
        <v>92778</v>
      </c>
      <c r="Z120" s="52">
        <v>94911</v>
      </c>
    </row>
    <row r="121" spans="1:26" ht="18" hidden="1" customHeight="1" x14ac:dyDescent="0.2">
      <c r="A121" s="46">
        <v>42972</v>
      </c>
      <c r="B121" s="47" t="s">
        <v>100</v>
      </c>
      <c r="C121" s="48">
        <f t="shared" si="28"/>
        <v>0</v>
      </c>
      <c r="D121" s="99">
        <f t="shared" si="24"/>
        <v>0</v>
      </c>
      <c r="E121" s="45">
        <f t="shared" si="25"/>
        <v>0</v>
      </c>
      <c r="F121" s="45">
        <f t="shared" si="29"/>
        <v>0</v>
      </c>
      <c r="G121" s="79">
        <f t="shared" si="30"/>
        <v>0</v>
      </c>
      <c r="H121" s="77">
        <v>3480</v>
      </c>
      <c r="I121" s="77">
        <v>713</v>
      </c>
      <c r="J121" s="80">
        <f t="shared" si="16"/>
        <v>4193</v>
      </c>
      <c r="K121" s="81"/>
      <c r="L121" s="43"/>
      <c r="N121" s="52">
        <v>40657</v>
      </c>
      <c r="O121" s="52">
        <v>42857</v>
      </c>
      <c r="P121" s="52">
        <v>533</v>
      </c>
      <c r="Q121" s="52"/>
      <c r="R121" s="52">
        <v>14264</v>
      </c>
      <c r="S121" s="95">
        <v>685.2</v>
      </c>
      <c r="T121" s="95"/>
      <c r="U121" s="95"/>
      <c r="V121" s="52">
        <v>85630</v>
      </c>
      <c r="W121" s="52">
        <v>93823</v>
      </c>
      <c r="X121" s="52">
        <v>55745</v>
      </c>
      <c r="Y121" s="52">
        <v>92778</v>
      </c>
      <c r="Z121" s="52">
        <v>95011</v>
      </c>
    </row>
    <row r="122" spans="1:26" ht="18" hidden="1" customHeight="1" x14ac:dyDescent="0.2">
      <c r="A122" s="46">
        <v>42973</v>
      </c>
      <c r="B122" s="47" t="s">
        <v>101</v>
      </c>
      <c r="C122" s="48">
        <f t="shared" si="28"/>
        <v>0</v>
      </c>
      <c r="D122" s="99">
        <f t="shared" si="24"/>
        <v>0</v>
      </c>
      <c r="E122" s="45">
        <f t="shared" si="25"/>
        <v>0</v>
      </c>
      <c r="F122" s="45">
        <f t="shared" si="29"/>
        <v>0</v>
      </c>
      <c r="G122" s="79">
        <f t="shared" si="30"/>
        <v>0</v>
      </c>
      <c r="H122" s="77"/>
      <c r="I122" s="77">
        <f>1269+362</f>
        <v>1631</v>
      </c>
      <c r="J122" s="80">
        <f t="shared" si="16"/>
        <v>1631</v>
      </c>
      <c r="K122" s="81"/>
      <c r="L122" s="43"/>
      <c r="N122" s="102">
        <v>40657</v>
      </c>
      <c r="O122" s="102">
        <v>42857</v>
      </c>
      <c r="P122" s="102">
        <v>533</v>
      </c>
      <c r="Q122" s="102"/>
      <c r="R122" s="102">
        <v>14264</v>
      </c>
      <c r="S122" s="103">
        <v>685.2</v>
      </c>
      <c r="T122" s="103"/>
      <c r="U122" s="103"/>
      <c r="V122" s="102">
        <v>85630</v>
      </c>
      <c r="W122" s="102">
        <v>93823</v>
      </c>
      <c r="X122" s="102">
        <v>55745</v>
      </c>
      <c r="Y122" s="102">
        <v>92778</v>
      </c>
      <c r="Z122" s="102">
        <v>95011</v>
      </c>
    </row>
    <row r="123" spans="1:26" ht="18" hidden="1" customHeight="1" x14ac:dyDescent="0.2">
      <c r="A123" s="46">
        <v>42974</v>
      </c>
      <c r="B123" s="47" t="s">
        <v>95</v>
      </c>
      <c r="C123" s="48">
        <f t="shared" si="28"/>
        <v>3149</v>
      </c>
      <c r="D123" s="99">
        <f t="shared" si="24"/>
        <v>1424</v>
      </c>
      <c r="E123" s="45">
        <f t="shared" si="25"/>
        <v>2598</v>
      </c>
      <c r="F123" s="45">
        <f t="shared" si="29"/>
        <v>308</v>
      </c>
      <c r="G123" s="79">
        <f t="shared" si="30"/>
        <v>7479</v>
      </c>
      <c r="H123" s="77">
        <v>0</v>
      </c>
      <c r="I123" s="77">
        <v>2016</v>
      </c>
      <c r="J123" s="80">
        <f t="shared" si="16"/>
        <v>2016</v>
      </c>
      <c r="K123" s="81">
        <f>J121+J122+J123-G123</f>
        <v>361</v>
      </c>
      <c r="L123" s="43"/>
      <c r="N123" s="102">
        <v>40657</v>
      </c>
      <c r="O123" s="102">
        <v>42857</v>
      </c>
      <c r="P123" s="102">
        <v>533</v>
      </c>
      <c r="Q123" s="102"/>
      <c r="R123" s="102">
        <v>14264</v>
      </c>
      <c r="S123" s="103">
        <v>685.2</v>
      </c>
      <c r="T123" s="103"/>
      <c r="U123" s="103"/>
      <c r="V123" s="102">
        <v>85630</v>
      </c>
      <c r="W123" s="102">
        <v>93823</v>
      </c>
      <c r="X123" s="102">
        <v>55745</v>
      </c>
      <c r="Y123" s="102">
        <v>92778</v>
      </c>
      <c r="Z123" s="102">
        <v>95011</v>
      </c>
    </row>
    <row r="124" spans="1:26" ht="18" hidden="1" customHeight="1" x14ac:dyDescent="0.2">
      <c r="A124" s="46">
        <v>42975</v>
      </c>
      <c r="B124" s="47" t="s">
        <v>96</v>
      </c>
      <c r="C124" s="48">
        <f t="shared" ref="C124:C133" si="31">(V125-V124)*1+(W125-W124)*32+(X125-X124)*12+(Y125-Y124)*6</f>
        <v>1934</v>
      </c>
      <c r="D124" s="99">
        <f t="shared" si="24"/>
        <v>1184</v>
      </c>
      <c r="E124" s="45">
        <f t="shared" si="25"/>
        <v>876.99999999998909</v>
      </c>
      <c r="F124" s="45">
        <f t="shared" ref="F124:F133" si="32">(Z125-Z124)*1</f>
        <v>98</v>
      </c>
      <c r="G124" s="79">
        <f t="shared" ref="G124:G133" si="33">C124+D124+F124+E124</f>
        <v>4092.9999999999891</v>
      </c>
      <c r="H124" s="77">
        <v>3403</v>
      </c>
      <c r="I124" s="77">
        <v>761</v>
      </c>
      <c r="J124" s="80">
        <f t="shared" si="16"/>
        <v>4164</v>
      </c>
      <c r="K124" s="81">
        <f t="shared" si="15"/>
        <v>71.000000000010914</v>
      </c>
      <c r="L124" s="43"/>
      <c r="N124" s="52">
        <v>40817</v>
      </c>
      <c r="O124" s="52">
        <v>42907</v>
      </c>
      <c r="P124" s="52">
        <v>551</v>
      </c>
      <c r="Q124" s="52"/>
      <c r="R124" s="52">
        <v>14342</v>
      </c>
      <c r="S124" s="95">
        <v>706.2</v>
      </c>
      <c r="T124" s="95"/>
      <c r="U124" s="95"/>
      <c r="V124" s="52">
        <v>86191</v>
      </c>
      <c r="W124" s="52">
        <v>93887</v>
      </c>
      <c r="X124" s="52">
        <v>55790</v>
      </c>
      <c r="Y124" s="52">
        <v>92778</v>
      </c>
      <c r="Z124" s="52">
        <v>95319</v>
      </c>
    </row>
    <row r="125" spans="1:26" ht="18" hidden="1" customHeight="1" x14ac:dyDescent="0.2">
      <c r="A125" s="46">
        <v>42976</v>
      </c>
      <c r="B125" s="47" t="s">
        <v>97</v>
      </c>
      <c r="C125" s="48">
        <f t="shared" si="31"/>
        <v>1910</v>
      </c>
      <c r="D125" s="99">
        <f t="shared" si="24"/>
        <v>1192</v>
      </c>
      <c r="E125" s="45">
        <f t="shared" si="25"/>
        <v>925</v>
      </c>
      <c r="F125" s="45">
        <f t="shared" si="32"/>
        <v>95</v>
      </c>
      <c r="G125" s="79">
        <f t="shared" si="33"/>
        <v>4122</v>
      </c>
      <c r="H125" s="77">
        <v>3474</v>
      </c>
      <c r="I125" s="77">
        <v>818</v>
      </c>
      <c r="J125" s="80">
        <f t="shared" si="16"/>
        <v>4292</v>
      </c>
      <c r="K125" s="81">
        <f t="shared" si="15"/>
        <v>170</v>
      </c>
      <c r="L125" s="43"/>
      <c r="N125" s="52">
        <v>40957</v>
      </c>
      <c r="O125" s="52">
        <v>42961</v>
      </c>
      <c r="P125" s="52">
        <v>559</v>
      </c>
      <c r="Q125" s="52"/>
      <c r="R125" s="52">
        <v>14367</v>
      </c>
      <c r="S125" s="95">
        <v>713.3</v>
      </c>
      <c r="T125" s="95"/>
      <c r="U125" s="95"/>
      <c r="V125" s="52">
        <v>86441</v>
      </c>
      <c r="W125" s="52">
        <v>93925</v>
      </c>
      <c r="X125" s="52">
        <v>55829</v>
      </c>
      <c r="Y125" s="52">
        <v>92778</v>
      </c>
      <c r="Z125" s="52">
        <v>95417</v>
      </c>
    </row>
    <row r="126" spans="1:26" ht="18" hidden="1" customHeight="1" x14ac:dyDescent="0.2">
      <c r="A126" s="46">
        <v>42977</v>
      </c>
      <c r="B126" s="47" t="s">
        <v>98</v>
      </c>
      <c r="C126" s="48">
        <f t="shared" si="31"/>
        <v>2258</v>
      </c>
      <c r="D126" s="99">
        <f t="shared" si="24"/>
        <v>1192</v>
      </c>
      <c r="E126" s="45">
        <f t="shared" si="25"/>
        <v>790.00000000001091</v>
      </c>
      <c r="F126" s="45">
        <f t="shared" si="32"/>
        <v>102</v>
      </c>
      <c r="G126" s="79">
        <f t="shared" si="33"/>
        <v>4342.0000000000109</v>
      </c>
      <c r="H126" s="77">
        <v>3646</v>
      </c>
      <c r="I126" s="77">
        <v>812</v>
      </c>
      <c r="J126" s="80">
        <f t="shared" si="16"/>
        <v>4458</v>
      </c>
      <c r="K126" s="81">
        <f t="shared" si="15"/>
        <v>115.99999999998909</v>
      </c>
      <c r="L126" s="43"/>
      <c r="N126" s="52">
        <v>41097</v>
      </c>
      <c r="O126" s="52">
        <v>43014</v>
      </c>
      <c r="P126" s="52">
        <v>568</v>
      </c>
      <c r="Q126" s="52"/>
      <c r="R126" s="52">
        <v>14392</v>
      </c>
      <c r="S126" s="95">
        <v>720.8</v>
      </c>
      <c r="T126" s="95"/>
      <c r="U126" s="95"/>
      <c r="V126" s="52">
        <v>86703</v>
      </c>
      <c r="W126" s="52">
        <v>93963</v>
      </c>
      <c r="X126" s="52">
        <v>55865</v>
      </c>
      <c r="Y126" s="52">
        <v>92778</v>
      </c>
      <c r="Z126" s="52">
        <v>95512</v>
      </c>
    </row>
    <row r="127" spans="1:26" ht="18" hidden="1" customHeight="1" x14ac:dyDescent="0.2">
      <c r="A127" s="46">
        <v>42978</v>
      </c>
      <c r="B127" s="47" t="s">
        <v>99</v>
      </c>
      <c r="C127" s="48">
        <f t="shared" si="31"/>
        <v>2365</v>
      </c>
      <c r="D127" s="99">
        <f t="shared" si="24"/>
        <v>1136</v>
      </c>
      <c r="E127" s="45">
        <f t="shared" si="25"/>
        <v>716.99999999999454</v>
      </c>
      <c r="F127" s="45">
        <f t="shared" si="32"/>
        <v>98</v>
      </c>
      <c r="G127" s="79">
        <f t="shared" si="33"/>
        <v>4315.9999999999945</v>
      </c>
      <c r="H127" s="77">
        <v>3743</v>
      </c>
      <c r="I127" s="77">
        <v>791</v>
      </c>
      <c r="J127" s="80">
        <f t="shared" si="16"/>
        <v>4534</v>
      </c>
      <c r="K127" s="81">
        <f t="shared" si="15"/>
        <v>218.00000000000546</v>
      </c>
      <c r="L127" s="43"/>
      <c r="N127" s="52">
        <v>41237</v>
      </c>
      <c r="O127" s="52">
        <v>43065</v>
      </c>
      <c r="P127" s="52">
        <v>577</v>
      </c>
      <c r="Q127" s="52"/>
      <c r="R127" s="52">
        <v>14414</v>
      </c>
      <c r="S127" s="95">
        <v>727.2</v>
      </c>
      <c r="T127" s="95"/>
      <c r="U127" s="95"/>
      <c r="V127" s="52">
        <v>86989</v>
      </c>
      <c r="W127" s="52">
        <v>94007</v>
      </c>
      <c r="X127" s="52">
        <v>55912</v>
      </c>
      <c r="Y127" s="52">
        <v>92778</v>
      </c>
      <c r="Z127" s="52">
        <v>95614</v>
      </c>
    </row>
    <row r="128" spans="1:26" ht="18" hidden="1" customHeight="1" x14ac:dyDescent="0.2">
      <c r="A128" s="46">
        <v>42979</v>
      </c>
      <c r="B128" s="47" t="s">
        <v>100</v>
      </c>
      <c r="C128" s="48">
        <f t="shared" si="31"/>
        <v>0</v>
      </c>
      <c r="D128" s="99">
        <f t="shared" si="24"/>
        <v>0</v>
      </c>
      <c r="E128" s="45">
        <f t="shared" si="25"/>
        <v>0</v>
      </c>
      <c r="F128" s="45">
        <f t="shared" si="32"/>
        <v>0</v>
      </c>
      <c r="G128" s="79">
        <f t="shared" si="33"/>
        <v>0</v>
      </c>
      <c r="H128" s="77">
        <v>3397</v>
      </c>
      <c r="I128" s="77">
        <v>684</v>
      </c>
      <c r="J128" s="80">
        <f t="shared" ref="J128:J133" si="34">H128+I128</f>
        <v>4081</v>
      </c>
      <c r="K128" s="81">
        <v>0</v>
      </c>
      <c r="L128" s="43"/>
      <c r="N128" s="52">
        <v>41367</v>
      </c>
      <c r="O128" s="52">
        <v>43113</v>
      </c>
      <c r="P128" s="52">
        <v>589</v>
      </c>
      <c r="Q128" s="52"/>
      <c r="R128" s="52">
        <v>14435</v>
      </c>
      <c r="S128" s="95">
        <v>733</v>
      </c>
      <c r="T128" s="95"/>
      <c r="U128" s="95"/>
      <c r="V128" s="52">
        <v>87242</v>
      </c>
      <c r="W128" s="52">
        <v>94052</v>
      </c>
      <c r="X128" s="52">
        <v>55968</v>
      </c>
      <c r="Y128" s="52">
        <v>92778</v>
      </c>
      <c r="Z128" s="52">
        <v>95712</v>
      </c>
    </row>
    <row r="129" spans="1:26" ht="18" hidden="1" customHeight="1" x14ac:dyDescent="0.2">
      <c r="A129" s="46">
        <v>42980</v>
      </c>
      <c r="B129" s="56" t="s">
        <v>103</v>
      </c>
      <c r="C129" s="48">
        <f t="shared" si="31"/>
        <v>0</v>
      </c>
      <c r="D129" s="99">
        <f t="shared" si="24"/>
        <v>0</v>
      </c>
      <c r="E129" s="45">
        <f t="shared" si="25"/>
        <v>0</v>
      </c>
      <c r="F129" s="45">
        <f t="shared" si="32"/>
        <v>0</v>
      </c>
      <c r="G129" s="79">
        <f t="shared" si="33"/>
        <v>0</v>
      </c>
      <c r="H129" s="77"/>
      <c r="I129" s="77">
        <v>1644</v>
      </c>
      <c r="J129" s="80">
        <f t="shared" si="34"/>
        <v>1644</v>
      </c>
      <c r="K129" s="81">
        <v>0</v>
      </c>
      <c r="L129" s="107" t="s">
        <v>115</v>
      </c>
      <c r="M129" s="107"/>
      <c r="N129" s="55">
        <v>41367</v>
      </c>
      <c r="O129" s="55">
        <v>43113</v>
      </c>
      <c r="P129" s="55">
        <v>589</v>
      </c>
      <c r="Q129" s="55"/>
      <c r="R129" s="55">
        <v>14435</v>
      </c>
      <c r="S129" s="96">
        <v>733</v>
      </c>
      <c r="T129" s="96"/>
      <c r="U129" s="96"/>
      <c r="V129" s="55">
        <v>87242</v>
      </c>
      <c r="W129" s="55">
        <v>94052</v>
      </c>
      <c r="X129" s="55">
        <v>55968</v>
      </c>
      <c r="Y129" s="55">
        <v>92778</v>
      </c>
      <c r="Z129" s="55">
        <v>95712</v>
      </c>
    </row>
    <row r="130" spans="1:26" ht="18" hidden="1" customHeight="1" x14ac:dyDescent="0.2">
      <c r="A130" s="46">
        <v>42981</v>
      </c>
      <c r="B130" s="56" t="s">
        <v>104</v>
      </c>
      <c r="C130" s="48">
        <f t="shared" si="31"/>
        <v>3273</v>
      </c>
      <c r="D130" s="99">
        <f t="shared" si="24"/>
        <v>1424</v>
      </c>
      <c r="E130" s="45">
        <f t="shared" si="25"/>
        <v>2315.9999999999945</v>
      </c>
      <c r="F130" s="45">
        <f t="shared" si="32"/>
        <v>276</v>
      </c>
      <c r="G130" s="79">
        <f t="shared" si="33"/>
        <v>7288.9999999999945</v>
      </c>
      <c r="H130" s="77"/>
      <c r="I130" s="77">
        <v>1995</v>
      </c>
      <c r="J130" s="80">
        <f t="shared" si="34"/>
        <v>1995</v>
      </c>
      <c r="K130" s="81">
        <f>J128+J129+J130-G130</f>
        <v>431.00000000000546</v>
      </c>
      <c r="L130" s="107" t="s">
        <v>115</v>
      </c>
      <c r="M130" s="107"/>
      <c r="N130" s="55">
        <v>41367</v>
      </c>
      <c r="O130" s="55">
        <v>43113</v>
      </c>
      <c r="P130" s="55">
        <v>589</v>
      </c>
      <c r="Q130" s="55"/>
      <c r="R130" s="55">
        <v>14435</v>
      </c>
      <c r="S130" s="96">
        <v>733</v>
      </c>
      <c r="T130" s="96"/>
      <c r="U130" s="96"/>
      <c r="V130" s="55">
        <v>87242</v>
      </c>
      <c r="W130" s="55">
        <v>94052</v>
      </c>
      <c r="X130" s="55">
        <v>55968</v>
      </c>
      <c r="Y130" s="55">
        <v>92778</v>
      </c>
      <c r="Z130" s="55">
        <v>95712</v>
      </c>
    </row>
    <row r="131" spans="1:26" ht="18" hidden="1" customHeight="1" x14ac:dyDescent="0.2">
      <c r="A131" s="46">
        <v>42982</v>
      </c>
      <c r="B131" s="47" t="s">
        <v>96</v>
      </c>
      <c r="C131" s="48">
        <f t="shared" si="31"/>
        <v>2460</v>
      </c>
      <c r="D131" s="99">
        <f t="shared" si="24"/>
        <v>1024</v>
      </c>
      <c r="E131" s="45">
        <f t="shared" si="25"/>
        <v>753.00000000000273</v>
      </c>
      <c r="F131" s="45">
        <f t="shared" si="32"/>
        <v>76</v>
      </c>
      <c r="G131" s="79">
        <f t="shared" si="33"/>
        <v>4313.0000000000027</v>
      </c>
      <c r="H131" s="77">
        <v>3737</v>
      </c>
      <c r="I131" s="77">
        <v>716</v>
      </c>
      <c r="J131" s="80">
        <f t="shared" si="34"/>
        <v>4453</v>
      </c>
      <c r="K131" s="81">
        <f t="shared" ref="K131:K190" si="35">J131-G131</f>
        <v>139.99999999999727</v>
      </c>
      <c r="L131" s="43"/>
      <c r="N131" s="52">
        <v>41527</v>
      </c>
      <c r="O131" s="52">
        <v>43164</v>
      </c>
      <c r="P131" s="52">
        <v>607</v>
      </c>
      <c r="Q131" s="52"/>
      <c r="R131" s="52">
        <v>14495</v>
      </c>
      <c r="S131" s="95">
        <v>751.8</v>
      </c>
      <c r="T131" s="95"/>
      <c r="U131" s="95"/>
      <c r="V131" s="52">
        <v>87791</v>
      </c>
      <c r="W131" s="52">
        <v>94118</v>
      </c>
      <c r="X131" s="52">
        <v>56019</v>
      </c>
      <c r="Y131" s="52">
        <v>92778</v>
      </c>
      <c r="Z131" s="52">
        <v>95988</v>
      </c>
    </row>
    <row r="132" spans="1:26" ht="18" hidden="1" customHeight="1" x14ac:dyDescent="0.2">
      <c r="A132" s="46">
        <v>42983</v>
      </c>
      <c r="B132" s="47" t="s">
        <v>97</v>
      </c>
      <c r="C132" s="48">
        <f t="shared" si="31"/>
        <v>2391</v>
      </c>
      <c r="D132" s="99">
        <f t="shared" si="24"/>
        <v>1032</v>
      </c>
      <c r="E132" s="45">
        <f t="shared" si="25"/>
        <v>803</v>
      </c>
      <c r="F132" s="45">
        <f t="shared" si="32"/>
        <v>82</v>
      </c>
      <c r="G132" s="79">
        <f t="shared" si="33"/>
        <v>4308</v>
      </c>
      <c r="H132" s="77">
        <v>3709</v>
      </c>
      <c r="I132" s="77">
        <v>724</v>
      </c>
      <c r="J132" s="80">
        <f t="shared" si="34"/>
        <v>4433</v>
      </c>
      <c r="K132" s="81">
        <f t="shared" si="35"/>
        <v>125</v>
      </c>
      <c r="L132" s="43"/>
      <c r="N132" s="52">
        <v>41647</v>
      </c>
      <c r="O132" s="52">
        <v>43208</v>
      </c>
      <c r="P132" s="52">
        <v>615</v>
      </c>
      <c r="Q132" s="52"/>
      <c r="R132" s="52">
        <v>14516</v>
      </c>
      <c r="S132" s="95">
        <v>757.9</v>
      </c>
      <c r="T132" s="95"/>
      <c r="U132" s="95"/>
      <c r="V132" s="52">
        <v>88051</v>
      </c>
      <c r="W132" s="52">
        <v>94165</v>
      </c>
      <c r="X132" s="52">
        <v>56077</v>
      </c>
      <c r="Y132" s="52">
        <v>92778</v>
      </c>
      <c r="Z132" s="52">
        <v>96064</v>
      </c>
    </row>
    <row r="133" spans="1:26" ht="18" hidden="1" customHeight="1" x14ac:dyDescent="0.2">
      <c r="A133" s="46">
        <v>42984</v>
      </c>
      <c r="B133" s="47" t="s">
        <v>98</v>
      </c>
      <c r="C133" s="48">
        <f t="shared" si="31"/>
        <v>2488</v>
      </c>
      <c r="D133" s="99">
        <f t="shared" si="24"/>
        <v>1216</v>
      </c>
      <c r="E133" s="45">
        <f t="shared" si="25"/>
        <v>579</v>
      </c>
      <c r="F133" s="45">
        <f t="shared" si="32"/>
        <v>90</v>
      </c>
      <c r="G133" s="79">
        <f t="shared" si="33"/>
        <v>4373</v>
      </c>
      <c r="H133" s="77">
        <v>3739</v>
      </c>
      <c r="I133" s="77">
        <v>768</v>
      </c>
      <c r="J133" s="80">
        <f t="shared" si="34"/>
        <v>4507</v>
      </c>
      <c r="K133" s="81">
        <f t="shared" si="35"/>
        <v>134</v>
      </c>
      <c r="L133" s="43"/>
      <c r="N133" s="52">
        <v>41767</v>
      </c>
      <c r="O133" s="52">
        <v>43259</v>
      </c>
      <c r="P133" s="52">
        <v>624</v>
      </c>
      <c r="Q133" s="52"/>
      <c r="R133" s="52">
        <v>14539</v>
      </c>
      <c r="S133" s="95">
        <v>764.4</v>
      </c>
      <c r="T133" s="95"/>
      <c r="U133" s="95"/>
      <c r="V133" s="52">
        <v>88294</v>
      </c>
      <c r="W133" s="52">
        <v>94213</v>
      </c>
      <c r="X133" s="52">
        <v>56128</v>
      </c>
      <c r="Y133" s="52">
        <v>92778</v>
      </c>
      <c r="Z133" s="52">
        <v>96146</v>
      </c>
    </row>
    <row r="134" spans="1:26" ht="18" hidden="1" customHeight="1" x14ac:dyDescent="0.2">
      <c r="A134" s="46">
        <v>42985</v>
      </c>
      <c r="B134" s="47" t="s">
        <v>99</v>
      </c>
      <c r="C134" s="48">
        <f t="shared" ref="C134:C144" si="36">(V135-V134)*1+(W135-W134)*32+(X135-X134)*12+(Y135-Y134)*6</f>
        <v>2590</v>
      </c>
      <c r="D134" s="99">
        <f t="shared" si="24"/>
        <v>1104</v>
      </c>
      <c r="E134" s="45">
        <f t="shared" si="25"/>
        <v>792.00000000000273</v>
      </c>
      <c r="F134" s="45">
        <f t="shared" ref="F134:F144" si="37">(Z135-Z134)*1</f>
        <v>82</v>
      </c>
      <c r="G134" s="79">
        <f>C134+D134+F134+E134</f>
        <v>4568.0000000000027</v>
      </c>
      <c r="H134" s="77">
        <v>3883</v>
      </c>
      <c r="I134" s="77">
        <v>795</v>
      </c>
      <c r="J134" s="80">
        <f t="shared" ref="J134:J197" si="38">H134+I134</f>
        <v>4678</v>
      </c>
      <c r="K134" s="81">
        <f t="shared" si="35"/>
        <v>109.99999999999727</v>
      </c>
      <c r="L134" s="43"/>
      <c r="N134" s="52">
        <v>41907</v>
      </c>
      <c r="O134" s="52">
        <v>43309</v>
      </c>
      <c r="P134" s="52">
        <v>636</v>
      </c>
      <c r="Q134" s="52"/>
      <c r="R134" s="52">
        <v>14458</v>
      </c>
      <c r="S134" s="95">
        <v>769.9</v>
      </c>
      <c r="T134" s="95"/>
      <c r="U134" s="95"/>
      <c r="V134" s="52">
        <v>88570</v>
      </c>
      <c r="W134" s="52">
        <v>94260</v>
      </c>
      <c r="X134" s="52">
        <v>56187</v>
      </c>
      <c r="Y134" s="52">
        <v>92778</v>
      </c>
      <c r="Z134" s="52">
        <v>96236</v>
      </c>
    </row>
    <row r="135" spans="1:26" ht="18" hidden="1" customHeight="1" x14ac:dyDescent="0.2">
      <c r="A135" s="46">
        <v>42986</v>
      </c>
      <c r="B135" s="47" t="s">
        <v>100</v>
      </c>
      <c r="C135" s="48">
        <f t="shared" si="36"/>
        <v>0</v>
      </c>
      <c r="D135" s="99">
        <f t="shared" si="24"/>
        <v>0</v>
      </c>
      <c r="E135" s="45">
        <f t="shared" si="25"/>
        <v>0</v>
      </c>
      <c r="F135" s="45">
        <f t="shared" si="37"/>
        <v>0</v>
      </c>
      <c r="G135" s="79"/>
      <c r="H135" s="77">
        <v>3454</v>
      </c>
      <c r="I135" s="77">
        <v>731</v>
      </c>
      <c r="J135" s="80">
        <f t="shared" si="38"/>
        <v>4185</v>
      </c>
      <c r="K135" s="81">
        <v>0</v>
      </c>
      <c r="L135" s="43"/>
      <c r="N135" s="52">
        <v>42037</v>
      </c>
      <c r="O135" s="52">
        <v>43360</v>
      </c>
      <c r="P135" s="52">
        <v>644</v>
      </c>
      <c r="Q135" s="52"/>
      <c r="R135" s="52">
        <v>14578</v>
      </c>
      <c r="S135" s="95">
        <v>775.5</v>
      </c>
      <c r="T135" s="95"/>
      <c r="U135" s="95"/>
      <c r="V135" s="52">
        <v>88824</v>
      </c>
      <c r="W135" s="52">
        <v>94312</v>
      </c>
      <c r="X135" s="52">
        <v>56243</v>
      </c>
      <c r="Y135" s="52">
        <v>92778</v>
      </c>
      <c r="Z135" s="52">
        <v>96318</v>
      </c>
    </row>
    <row r="136" spans="1:26" ht="18" hidden="1" customHeight="1" x14ac:dyDescent="0.2">
      <c r="A136" s="46">
        <v>42987</v>
      </c>
      <c r="B136" s="56" t="s">
        <v>103</v>
      </c>
      <c r="C136" s="48">
        <f t="shared" si="36"/>
        <v>0</v>
      </c>
      <c r="D136" s="99">
        <f t="shared" si="24"/>
        <v>0</v>
      </c>
      <c r="E136" s="45">
        <f t="shared" si="25"/>
        <v>0</v>
      </c>
      <c r="F136" s="45">
        <f t="shared" si="37"/>
        <v>0</v>
      </c>
      <c r="G136" s="79"/>
      <c r="H136" s="77"/>
      <c r="I136" s="77">
        <v>1589</v>
      </c>
      <c r="J136" s="80">
        <f t="shared" si="38"/>
        <v>1589</v>
      </c>
      <c r="K136" s="81">
        <v>0</v>
      </c>
      <c r="L136" s="107" t="s">
        <v>115</v>
      </c>
      <c r="M136" s="107"/>
      <c r="N136" s="55">
        <v>42037</v>
      </c>
      <c r="O136" s="55">
        <v>43360</v>
      </c>
      <c r="P136" s="55">
        <v>644</v>
      </c>
      <c r="Q136" s="55"/>
      <c r="R136" s="55">
        <v>14578</v>
      </c>
      <c r="S136" s="96">
        <v>775.5</v>
      </c>
      <c r="T136" s="96"/>
      <c r="U136" s="96"/>
      <c r="V136" s="55">
        <v>88824</v>
      </c>
      <c r="W136" s="55">
        <v>94312</v>
      </c>
      <c r="X136" s="55">
        <v>56243</v>
      </c>
      <c r="Y136" s="55">
        <v>92778</v>
      </c>
      <c r="Z136" s="55">
        <v>96318</v>
      </c>
    </row>
    <row r="137" spans="1:26" ht="18" hidden="1" customHeight="1" x14ac:dyDescent="0.2">
      <c r="A137" s="46">
        <v>42988</v>
      </c>
      <c r="B137" s="56" t="s">
        <v>104</v>
      </c>
      <c r="C137" s="48">
        <f t="shared" si="36"/>
        <v>3326</v>
      </c>
      <c r="D137" s="99">
        <f t="shared" si="24"/>
        <v>1304</v>
      </c>
      <c r="E137" s="45">
        <f t="shared" si="25"/>
        <v>2407</v>
      </c>
      <c r="F137" s="45">
        <f t="shared" si="37"/>
        <v>265</v>
      </c>
      <c r="G137" s="79">
        <f>C137+D137+F137+E137</f>
        <v>7302</v>
      </c>
      <c r="H137" s="77"/>
      <c r="I137" s="77">
        <v>2000</v>
      </c>
      <c r="J137" s="80">
        <f t="shared" si="38"/>
        <v>2000</v>
      </c>
      <c r="K137" s="81">
        <f>J135+J136+J137-G137</f>
        <v>472</v>
      </c>
      <c r="L137" s="107" t="s">
        <v>115</v>
      </c>
      <c r="M137" s="107"/>
      <c r="N137" s="55">
        <v>42037</v>
      </c>
      <c r="O137" s="55">
        <v>43360</v>
      </c>
      <c r="P137" s="55">
        <v>644</v>
      </c>
      <c r="Q137" s="55"/>
      <c r="R137" s="55">
        <v>14578</v>
      </c>
      <c r="S137" s="96">
        <v>775.5</v>
      </c>
      <c r="T137" s="96"/>
      <c r="U137" s="96"/>
      <c r="V137" s="55">
        <v>88824</v>
      </c>
      <c r="W137" s="55">
        <v>94312</v>
      </c>
      <c r="X137" s="55">
        <v>56243</v>
      </c>
      <c r="Y137" s="55">
        <v>92778</v>
      </c>
      <c r="Z137" s="55">
        <v>96318</v>
      </c>
    </row>
    <row r="138" spans="1:26" ht="18" hidden="1" customHeight="1" x14ac:dyDescent="0.2">
      <c r="A138" s="46">
        <v>42989</v>
      </c>
      <c r="B138" s="47" t="s">
        <v>96</v>
      </c>
      <c r="C138" s="48">
        <f t="shared" si="36"/>
        <v>2489</v>
      </c>
      <c r="D138" s="99">
        <f t="shared" si="24"/>
        <v>1184</v>
      </c>
      <c r="E138" s="45">
        <f t="shared" si="25"/>
        <v>947.00000000000546</v>
      </c>
      <c r="F138" s="45">
        <f t="shared" si="37"/>
        <v>99</v>
      </c>
      <c r="G138" s="79">
        <f>C138+D138+F138+E138</f>
        <v>4719.0000000000055</v>
      </c>
      <c r="H138" s="77">
        <v>4035</v>
      </c>
      <c r="I138" s="77">
        <v>732</v>
      </c>
      <c r="J138" s="80">
        <f t="shared" si="38"/>
        <v>4767</v>
      </c>
      <c r="K138" s="81">
        <f t="shared" si="35"/>
        <v>47.999999999994543</v>
      </c>
      <c r="L138" s="43"/>
      <c r="N138" s="52">
        <v>42177</v>
      </c>
      <c r="O138" s="52">
        <v>43413</v>
      </c>
      <c r="P138" s="52">
        <v>667</v>
      </c>
      <c r="Q138" s="52"/>
      <c r="R138" s="52">
        <v>14645</v>
      </c>
      <c r="S138" s="95">
        <v>795</v>
      </c>
      <c r="T138" s="95"/>
      <c r="U138" s="95"/>
      <c r="V138" s="52">
        <v>89438</v>
      </c>
      <c r="W138" s="52">
        <v>94378</v>
      </c>
      <c r="X138" s="52">
        <v>56293</v>
      </c>
      <c r="Y138" s="52">
        <v>92778</v>
      </c>
      <c r="Z138" s="52">
        <v>96583</v>
      </c>
    </row>
    <row r="139" spans="1:26" ht="18" hidden="1" customHeight="1" x14ac:dyDescent="0.2">
      <c r="A139" s="46">
        <v>42990</v>
      </c>
      <c r="B139" s="47" t="s">
        <v>97</v>
      </c>
      <c r="C139" s="48">
        <f t="shared" si="36"/>
        <v>2573</v>
      </c>
      <c r="D139" s="99">
        <f t="shared" si="24"/>
        <v>1112</v>
      </c>
      <c r="E139" s="45">
        <f t="shared" si="25"/>
        <v>826.99999999999181</v>
      </c>
      <c r="F139" s="45">
        <f t="shared" si="37"/>
        <v>75</v>
      </c>
      <c r="G139" s="79">
        <f>C139+D139+F139+E139</f>
        <v>4586.9999999999918</v>
      </c>
      <c r="H139" s="77">
        <v>3836</v>
      </c>
      <c r="I139" s="77">
        <v>812</v>
      </c>
      <c r="J139" s="80">
        <f t="shared" si="38"/>
        <v>4648</v>
      </c>
      <c r="K139" s="81">
        <f t="shared" si="35"/>
        <v>61.000000000008185</v>
      </c>
      <c r="L139" s="43"/>
      <c r="N139" s="52">
        <v>42317</v>
      </c>
      <c r="O139" s="52">
        <v>43465</v>
      </c>
      <c r="P139" s="52">
        <v>675</v>
      </c>
      <c r="Q139" s="52"/>
      <c r="R139" s="52">
        <v>14668</v>
      </c>
      <c r="S139" s="95">
        <v>802.7</v>
      </c>
      <c r="T139" s="95"/>
      <c r="U139" s="95"/>
      <c r="V139" s="52">
        <v>89691</v>
      </c>
      <c r="W139" s="52">
        <v>94428</v>
      </c>
      <c r="X139" s="52">
        <v>56346</v>
      </c>
      <c r="Y139" s="52">
        <v>92778</v>
      </c>
      <c r="Z139" s="52">
        <v>96682</v>
      </c>
    </row>
    <row r="140" spans="1:26" ht="18" hidden="1" customHeight="1" x14ac:dyDescent="0.2">
      <c r="A140" s="46">
        <v>42991</v>
      </c>
      <c r="B140" s="47" t="s">
        <v>98</v>
      </c>
      <c r="C140" s="48">
        <f t="shared" si="36"/>
        <v>1870</v>
      </c>
      <c r="D140" s="99">
        <f t="shared" si="24"/>
        <v>1264</v>
      </c>
      <c r="E140" s="45">
        <f t="shared" si="25"/>
        <v>862</v>
      </c>
      <c r="F140" s="45">
        <f t="shared" si="37"/>
        <v>72</v>
      </c>
      <c r="G140" s="79">
        <f>C140+D140+F140+E140</f>
        <v>4068</v>
      </c>
      <c r="H140" s="77">
        <v>3625</v>
      </c>
      <c r="I140" s="77">
        <v>876</v>
      </c>
      <c r="J140" s="80">
        <f t="shared" si="38"/>
        <v>4501</v>
      </c>
      <c r="K140" s="81">
        <f t="shared" si="35"/>
        <v>433</v>
      </c>
      <c r="L140" s="43"/>
      <c r="N140" s="52">
        <v>42447</v>
      </c>
      <c r="O140" s="52">
        <v>43515</v>
      </c>
      <c r="P140" s="52">
        <v>684</v>
      </c>
      <c r="Q140" s="52"/>
      <c r="R140" s="52">
        <v>14691</v>
      </c>
      <c r="S140" s="95">
        <v>809.4</v>
      </c>
      <c r="T140" s="95"/>
      <c r="U140" s="95"/>
      <c r="V140" s="52">
        <v>89940</v>
      </c>
      <c r="W140" s="52">
        <v>94480</v>
      </c>
      <c r="X140" s="52">
        <v>56401</v>
      </c>
      <c r="Y140" s="52">
        <v>92778</v>
      </c>
      <c r="Z140" s="52">
        <v>96757</v>
      </c>
    </row>
    <row r="141" spans="1:26" ht="18" hidden="1" customHeight="1" x14ac:dyDescent="0.2">
      <c r="A141" s="46">
        <v>42992</v>
      </c>
      <c r="B141" s="47" t="s">
        <v>99</v>
      </c>
      <c r="C141" s="48">
        <f t="shared" si="36"/>
        <v>2074</v>
      </c>
      <c r="D141" s="99">
        <f t="shared" si="24"/>
        <v>1360</v>
      </c>
      <c r="E141" s="45">
        <f t="shared" si="25"/>
        <v>703.00000000000546</v>
      </c>
      <c r="F141" s="45">
        <f t="shared" si="37"/>
        <v>73</v>
      </c>
      <c r="G141" s="79">
        <f>C141+D141+F141+E141</f>
        <v>4210.0000000000055</v>
      </c>
      <c r="H141" s="77">
        <v>3288</v>
      </c>
      <c r="I141" s="77">
        <v>801</v>
      </c>
      <c r="J141" s="80">
        <f t="shared" si="38"/>
        <v>4089</v>
      </c>
      <c r="K141" s="81">
        <f t="shared" si="35"/>
        <v>-121.00000000000546</v>
      </c>
      <c r="L141" s="43"/>
      <c r="N141" s="52">
        <v>42597</v>
      </c>
      <c r="O141" s="52">
        <v>43573</v>
      </c>
      <c r="P141" s="52">
        <v>692</v>
      </c>
      <c r="Q141" s="52"/>
      <c r="R141" s="52">
        <v>14713</v>
      </c>
      <c r="S141" s="95">
        <v>816.4</v>
      </c>
      <c r="T141" s="95"/>
      <c r="U141" s="95"/>
      <c r="V141" s="52">
        <v>90162</v>
      </c>
      <c r="W141" s="52">
        <v>94512</v>
      </c>
      <c r="X141" s="52">
        <v>56453</v>
      </c>
      <c r="Y141" s="52">
        <v>92778</v>
      </c>
      <c r="Z141" s="52">
        <v>96829</v>
      </c>
    </row>
    <row r="142" spans="1:26" ht="18" hidden="1" customHeight="1" x14ac:dyDescent="0.2">
      <c r="A142" s="46">
        <v>42993</v>
      </c>
      <c r="B142" s="47" t="s">
        <v>100</v>
      </c>
      <c r="C142" s="48">
        <f t="shared" si="36"/>
        <v>0</v>
      </c>
      <c r="D142" s="99">
        <f t="shared" si="24"/>
        <v>0</v>
      </c>
      <c r="E142" s="45">
        <f t="shared" si="25"/>
        <v>0</v>
      </c>
      <c r="F142" s="45">
        <f t="shared" si="37"/>
        <v>0</v>
      </c>
      <c r="G142" s="79"/>
      <c r="H142" s="77">
        <v>3629</v>
      </c>
      <c r="I142" s="77">
        <v>837</v>
      </c>
      <c r="J142" s="80">
        <f t="shared" si="38"/>
        <v>4466</v>
      </c>
      <c r="K142" s="81">
        <v>0</v>
      </c>
      <c r="L142" s="43"/>
      <c r="N142" s="52">
        <v>42757</v>
      </c>
      <c r="O142" s="52">
        <v>43633</v>
      </c>
      <c r="P142" s="52">
        <v>702</v>
      </c>
      <c r="Q142" s="52"/>
      <c r="R142" s="52">
        <v>14732</v>
      </c>
      <c r="S142" s="95">
        <v>822.1</v>
      </c>
      <c r="T142" s="95"/>
      <c r="U142" s="95"/>
      <c r="V142" s="52">
        <v>90392</v>
      </c>
      <c r="W142" s="52">
        <v>94552</v>
      </c>
      <c r="X142" s="52">
        <v>56500</v>
      </c>
      <c r="Y142" s="52">
        <v>92778</v>
      </c>
      <c r="Z142" s="52">
        <v>96902</v>
      </c>
    </row>
    <row r="143" spans="1:26" ht="18" hidden="1" customHeight="1" x14ac:dyDescent="0.2">
      <c r="A143" s="46">
        <v>42994</v>
      </c>
      <c r="B143" s="56" t="s">
        <v>103</v>
      </c>
      <c r="C143" s="48">
        <f t="shared" si="36"/>
        <v>0</v>
      </c>
      <c r="D143" s="99">
        <f t="shared" si="24"/>
        <v>0</v>
      </c>
      <c r="E143" s="45">
        <f t="shared" si="25"/>
        <v>0</v>
      </c>
      <c r="F143" s="45">
        <f t="shared" si="37"/>
        <v>0</v>
      </c>
      <c r="G143" s="79"/>
      <c r="H143" s="77"/>
      <c r="I143" s="77">
        <v>2787</v>
      </c>
      <c r="J143" s="80">
        <f t="shared" si="38"/>
        <v>2787</v>
      </c>
      <c r="K143" s="81">
        <v>0</v>
      </c>
      <c r="L143" s="43"/>
      <c r="N143" s="55">
        <v>42757</v>
      </c>
      <c r="O143" s="55">
        <v>43633</v>
      </c>
      <c r="P143" s="55">
        <v>702</v>
      </c>
      <c r="Q143" s="55"/>
      <c r="R143" s="55">
        <v>14732</v>
      </c>
      <c r="S143" s="96">
        <v>822.1</v>
      </c>
      <c r="T143" s="96"/>
      <c r="U143" s="96"/>
      <c r="V143" s="55">
        <v>90392</v>
      </c>
      <c r="W143" s="55">
        <v>94552</v>
      </c>
      <c r="X143" s="55">
        <v>56500</v>
      </c>
      <c r="Y143" s="55">
        <v>92778</v>
      </c>
      <c r="Z143" s="55">
        <v>96902</v>
      </c>
    </row>
    <row r="144" spans="1:26" ht="18" hidden="1" customHeight="1" x14ac:dyDescent="0.2">
      <c r="A144" s="46">
        <v>42995</v>
      </c>
      <c r="B144" s="56" t="s">
        <v>104</v>
      </c>
      <c r="C144" s="48">
        <f t="shared" si="36"/>
        <v>3346</v>
      </c>
      <c r="D144" s="99">
        <f t="shared" si="24"/>
        <v>3472</v>
      </c>
      <c r="E144" s="45">
        <f t="shared" si="25"/>
        <v>2533</v>
      </c>
      <c r="F144" s="45">
        <f t="shared" si="37"/>
        <v>212</v>
      </c>
      <c r="G144" s="79">
        <f>C144+D144+F144+E144</f>
        <v>9563</v>
      </c>
      <c r="H144" s="77"/>
      <c r="I144" s="77">
        <v>2765</v>
      </c>
      <c r="J144" s="80">
        <f t="shared" si="38"/>
        <v>2765</v>
      </c>
      <c r="K144" s="81">
        <f>J142+J143+J144-G144</f>
        <v>455</v>
      </c>
      <c r="L144" s="43"/>
      <c r="N144" s="55">
        <v>42757</v>
      </c>
      <c r="O144" s="55">
        <v>43633</v>
      </c>
      <c r="P144" s="55">
        <v>702</v>
      </c>
      <c r="Q144" s="55"/>
      <c r="R144" s="55">
        <v>14732</v>
      </c>
      <c r="S144" s="96">
        <v>822.1</v>
      </c>
      <c r="T144" s="96"/>
      <c r="U144" s="96"/>
      <c r="V144" s="55">
        <v>90392</v>
      </c>
      <c r="W144" s="55">
        <v>94552</v>
      </c>
      <c r="X144" s="55">
        <v>56500</v>
      </c>
      <c r="Y144" s="55">
        <v>92778</v>
      </c>
      <c r="Z144" s="55">
        <v>96902</v>
      </c>
    </row>
    <row r="145" spans="1:26" ht="18" hidden="1" customHeight="1" x14ac:dyDescent="0.2">
      <c r="A145" s="46">
        <v>42996</v>
      </c>
      <c r="B145" s="47" t="s">
        <v>96</v>
      </c>
      <c r="C145" s="48">
        <f>(V146-V145)*1+(W146-W145)*32+(X146-X145)*12+(Y146-Y145)*6</f>
        <v>2368</v>
      </c>
      <c r="D145" s="99">
        <f t="shared" si="24"/>
        <v>1400</v>
      </c>
      <c r="E145" s="45">
        <f t="shared" si="25"/>
        <v>900.99999999999454</v>
      </c>
      <c r="F145" s="45">
        <f>(Z146-Z145)*1</f>
        <v>67</v>
      </c>
      <c r="G145" s="79">
        <f>C145+D145+F145+E145</f>
        <v>4735.9999999999945</v>
      </c>
      <c r="H145" s="77">
        <v>4054</v>
      </c>
      <c r="I145" s="77">
        <v>783</v>
      </c>
      <c r="J145" s="80">
        <f t="shared" si="38"/>
        <v>4837</v>
      </c>
      <c r="K145" s="81">
        <f t="shared" si="35"/>
        <v>101.00000000000546</v>
      </c>
      <c r="L145" s="43"/>
      <c r="N145" s="52">
        <v>43167</v>
      </c>
      <c r="O145" s="52">
        <v>43782</v>
      </c>
      <c r="P145" s="52">
        <v>726</v>
      </c>
      <c r="Q145" s="52"/>
      <c r="R145" s="52">
        <v>14805</v>
      </c>
      <c r="S145" s="95">
        <v>842.6</v>
      </c>
      <c r="T145" s="95"/>
      <c r="U145" s="95"/>
      <c r="V145" s="52">
        <v>90934</v>
      </c>
      <c r="W145" s="52">
        <v>94622</v>
      </c>
      <c r="X145" s="52">
        <v>56547</v>
      </c>
      <c r="Y145" s="52">
        <v>92778</v>
      </c>
      <c r="Z145" s="52">
        <v>97114</v>
      </c>
    </row>
    <row r="146" spans="1:26" ht="18" hidden="1" customHeight="1" x14ac:dyDescent="0.2">
      <c r="A146" s="46">
        <v>42997</v>
      </c>
      <c r="B146" s="47" t="s">
        <v>97</v>
      </c>
      <c r="C146" s="48">
        <f>(V147-V146)*1+(W147-W146)*32+(X147-X146)*12+(Y147-Y146)*6</f>
        <v>2369</v>
      </c>
      <c r="D146" s="99">
        <f t="shared" si="24"/>
        <v>1352</v>
      </c>
      <c r="E146" s="45">
        <f t="shared" si="25"/>
        <v>740</v>
      </c>
      <c r="F146" s="45">
        <f>(Z147-Z146)*1</f>
        <v>71</v>
      </c>
      <c r="G146" s="79">
        <f>C146+D146+F146+E146</f>
        <v>4532</v>
      </c>
      <c r="H146" s="77">
        <v>3823</v>
      </c>
      <c r="I146" s="77">
        <v>827</v>
      </c>
      <c r="J146" s="80">
        <f t="shared" si="38"/>
        <v>4650</v>
      </c>
      <c r="K146" s="81">
        <f t="shared" si="35"/>
        <v>118</v>
      </c>
      <c r="L146" s="43"/>
      <c r="N146" s="52">
        <v>43327</v>
      </c>
      <c r="O146" s="52">
        <v>43843</v>
      </c>
      <c r="P146" s="52">
        <v>741</v>
      </c>
      <c r="Q146" s="52"/>
      <c r="R146" s="52">
        <v>14830</v>
      </c>
      <c r="S146" s="95">
        <v>849.9</v>
      </c>
      <c r="T146" s="95"/>
      <c r="U146" s="95"/>
      <c r="V146" s="52">
        <v>91158</v>
      </c>
      <c r="W146" s="52">
        <v>94665</v>
      </c>
      <c r="X146" s="52">
        <v>56611</v>
      </c>
      <c r="Y146" s="52">
        <v>92778</v>
      </c>
      <c r="Z146" s="52">
        <v>97181</v>
      </c>
    </row>
    <row r="147" spans="1:26" ht="18" hidden="1" customHeight="1" x14ac:dyDescent="0.2">
      <c r="A147" s="46">
        <v>42998</v>
      </c>
      <c r="B147" s="47" t="s">
        <v>98</v>
      </c>
      <c r="C147" s="48">
        <f>(V148-V147)*1+(W148-W147)*32+(X148-X147)*12+(Y148-Y147)*6</f>
        <v>2271</v>
      </c>
      <c r="D147" s="99">
        <f t="shared" si="24"/>
        <v>1432</v>
      </c>
      <c r="E147" s="45">
        <f t="shared" si="25"/>
        <v>761.00000000000273</v>
      </c>
      <c r="F147" s="45">
        <f>(Z148-Z147)*1</f>
        <v>83</v>
      </c>
      <c r="G147" s="79">
        <f>C147+D147+F147+E147</f>
        <v>4547.0000000000027</v>
      </c>
      <c r="H147" s="77">
        <v>3752</v>
      </c>
      <c r="I147" s="77">
        <v>882</v>
      </c>
      <c r="J147" s="80">
        <f t="shared" si="38"/>
        <v>4634</v>
      </c>
      <c r="K147" s="81">
        <f t="shared" si="35"/>
        <v>86.999999999997272</v>
      </c>
      <c r="L147" s="43"/>
      <c r="N147" s="52">
        <v>43487</v>
      </c>
      <c r="O147" s="52">
        <v>43905</v>
      </c>
      <c r="P147" s="52">
        <v>750</v>
      </c>
      <c r="Q147" s="52"/>
      <c r="R147" s="52">
        <v>14850</v>
      </c>
      <c r="S147" s="95">
        <v>855.9</v>
      </c>
      <c r="T147" s="95"/>
      <c r="U147" s="95"/>
      <c r="V147" s="52">
        <v>91419</v>
      </c>
      <c r="W147" s="52">
        <v>94711</v>
      </c>
      <c r="X147" s="52">
        <v>56664</v>
      </c>
      <c r="Y147" s="52">
        <v>92778</v>
      </c>
      <c r="Z147" s="52">
        <v>97252</v>
      </c>
    </row>
    <row r="148" spans="1:26" ht="18" hidden="1" customHeight="1" x14ac:dyDescent="0.2">
      <c r="A148" s="46">
        <v>42999</v>
      </c>
      <c r="B148" s="47" t="s">
        <v>99</v>
      </c>
      <c r="C148" s="48">
        <f>(V149-V148)*1+(W149-W148)*32+(X149-X148)*12+(Y149-Y148)*6</f>
        <v>2494</v>
      </c>
      <c r="D148" s="99">
        <f t="shared" si="24"/>
        <v>1360</v>
      </c>
      <c r="E148" s="45">
        <f t="shared" si="25"/>
        <v>841.99999999999454</v>
      </c>
      <c r="F148" s="45">
        <f>(Z149-Z148)*1</f>
        <v>82</v>
      </c>
      <c r="G148" s="79">
        <f>C148+D148+F148+E148</f>
        <v>4777.9999999999945</v>
      </c>
      <c r="H148" s="77">
        <v>4126</v>
      </c>
      <c r="I148" s="77">
        <v>871</v>
      </c>
      <c r="J148" s="80">
        <f t="shared" si="38"/>
        <v>4997</v>
      </c>
      <c r="K148" s="81">
        <f t="shared" si="35"/>
        <v>219.00000000000546</v>
      </c>
      <c r="L148" s="43"/>
      <c r="N148" s="52">
        <v>43657</v>
      </c>
      <c r="O148" s="52">
        <v>43967</v>
      </c>
      <c r="P148" s="52">
        <v>759</v>
      </c>
      <c r="Q148" s="52"/>
      <c r="R148" s="52">
        <v>14879</v>
      </c>
      <c r="S148" s="95">
        <v>862</v>
      </c>
      <c r="T148" s="95"/>
      <c r="U148" s="95"/>
      <c r="V148" s="52">
        <v>91722</v>
      </c>
      <c r="W148" s="52">
        <v>94756</v>
      </c>
      <c r="X148" s="52">
        <v>56708</v>
      </c>
      <c r="Y148" s="52">
        <v>92778</v>
      </c>
      <c r="Z148" s="52">
        <v>97335</v>
      </c>
    </row>
    <row r="149" spans="1:26" ht="18" hidden="1" customHeight="1" x14ac:dyDescent="0.2">
      <c r="A149" s="46">
        <v>43000</v>
      </c>
      <c r="B149" s="47" t="s">
        <v>100</v>
      </c>
      <c r="C149" s="48"/>
      <c r="D149" s="99"/>
      <c r="E149" s="45"/>
      <c r="F149" s="45"/>
      <c r="G149" s="79"/>
      <c r="H149" s="77">
        <v>4393</v>
      </c>
      <c r="I149" s="77">
        <v>913</v>
      </c>
      <c r="J149" s="80">
        <f t="shared" si="38"/>
        <v>5306</v>
      </c>
      <c r="K149" s="81">
        <v>0</v>
      </c>
      <c r="L149" s="43"/>
      <c r="N149" s="52">
        <v>43817</v>
      </c>
      <c r="O149" s="52">
        <v>44034</v>
      </c>
      <c r="P149" s="52">
        <v>769</v>
      </c>
      <c r="Q149" s="52"/>
      <c r="R149" s="52">
        <v>14905</v>
      </c>
      <c r="S149" s="95">
        <v>868.8</v>
      </c>
      <c r="T149" s="95"/>
      <c r="U149" s="95"/>
      <c r="V149" s="52">
        <v>92032</v>
      </c>
      <c r="W149" s="52">
        <v>94804</v>
      </c>
      <c r="X149" s="52">
        <v>56762</v>
      </c>
      <c r="Y149" s="52">
        <v>92778</v>
      </c>
      <c r="Z149" s="52">
        <v>97417</v>
      </c>
    </row>
    <row r="150" spans="1:26" ht="18" hidden="1" customHeight="1" x14ac:dyDescent="0.2">
      <c r="A150" s="46">
        <v>43001</v>
      </c>
      <c r="B150" s="56" t="s">
        <v>103</v>
      </c>
      <c r="C150" s="48"/>
      <c r="D150" s="99"/>
      <c r="E150" s="45"/>
      <c r="F150" s="45"/>
      <c r="G150" s="79"/>
      <c r="H150" s="77"/>
      <c r="I150" s="77">
        <v>3083</v>
      </c>
      <c r="J150" s="80">
        <f t="shared" si="38"/>
        <v>3083</v>
      </c>
      <c r="K150" s="81">
        <v>0</v>
      </c>
      <c r="L150" s="43"/>
      <c r="N150" s="55">
        <v>43817</v>
      </c>
      <c r="O150" s="55">
        <v>44034</v>
      </c>
      <c r="P150" s="55">
        <v>769</v>
      </c>
      <c r="Q150" s="55"/>
      <c r="R150" s="55">
        <v>14905</v>
      </c>
      <c r="S150" s="96">
        <v>868.8</v>
      </c>
      <c r="T150" s="96"/>
      <c r="U150" s="96"/>
      <c r="V150" s="55">
        <v>92032</v>
      </c>
      <c r="W150" s="55">
        <v>94804</v>
      </c>
      <c r="X150" s="55">
        <v>56762</v>
      </c>
      <c r="Y150" s="55">
        <v>92778</v>
      </c>
      <c r="Z150" s="55">
        <v>97417</v>
      </c>
    </row>
    <row r="151" spans="1:26" ht="18" hidden="1" customHeight="1" x14ac:dyDescent="0.2">
      <c r="A151" s="46">
        <v>43002</v>
      </c>
      <c r="B151" s="56" t="s">
        <v>104</v>
      </c>
      <c r="C151" s="48">
        <f t="shared" ref="C151:C156" si="39">(V152-V151)*1+(W152-W151)*32+(X152-X151)*12+(Y152-Y151)*6</f>
        <v>4004</v>
      </c>
      <c r="D151" s="99">
        <f t="shared" ref="D151:D156" si="40">(N152-N151)*8+(P152-P151)*8</f>
        <v>4200</v>
      </c>
      <c r="E151" s="45">
        <f t="shared" ref="E151:E156" si="41">(R152-R151)*1+(S152-S151)*120</f>
        <v>2620.0000000000027</v>
      </c>
      <c r="F151" s="45">
        <f t="shared" ref="F151:F156" si="42">(Z152-Z151)*1</f>
        <v>266</v>
      </c>
      <c r="G151" s="79">
        <f t="shared" ref="G151:G156" si="43">C151+D151+F151+E151</f>
        <v>11090.000000000004</v>
      </c>
      <c r="H151" s="77"/>
      <c r="I151" s="77">
        <v>3038</v>
      </c>
      <c r="J151" s="80">
        <f t="shared" si="38"/>
        <v>3038</v>
      </c>
      <c r="K151" s="81">
        <f>J149+J150+J151-G151</f>
        <v>336.99999999999636</v>
      </c>
      <c r="L151" s="43"/>
      <c r="N151" s="55">
        <v>43817</v>
      </c>
      <c r="O151" s="55">
        <v>44034</v>
      </c>
      <c r="P151" s="55">
        <v>769</v>
      </c>
      <c r="Q151" s="55"/>
      <c r="R151" s="55">
        <v>14905</v>
      </c>
      <c r="S151" s="96">
        <v>868.8</v>
      </c>
      <c r="T151" s="96"/>
      <c r="U151" s="96"/>
      <c r="V151" s="55">
        <v>92032</v>
      </c>
      <c r="W151" s="55">
        <v>94804</v>
      </c>
      <c r="X151" s="55">
        <v>56762</v>
      </c>
      <c r="Y151" s="55">
        <v>92778</v>
      </c>
      <c r="Z151" s="55">
        <v>97417</v>
      </c>
    </row>
    <row r="152" spans="1:26" ht="18" hidden="1" customHeight="1" x14ac:dyDescent="0.2">
      <c r="A152" s="46">
        <v>43003</v>
      </c>
      <c r="B152" s="47" t="s">
        <v>96</v>
      </c>
      <c r="C152" s="48">
        <f t="shared" si="39"/>
        <v>2192</v>
      </c>
      <c r="D152" s="99">
        <f t="shared" si="40"/>
        <v>1392</v>
      </c>
      <c r="E152" s="45">
        <f t="shared" si="41"/>
        <v>996</v>
      </c>
      <c r="F152" s="45">
        <f t="shared" si="42"/>
        <v>82</v>
      </c>
      <c r="G152" s="79">
        <f t="shared" si="43"/>
        <v>4662</v>
      </c>
      <c r="H152" s="77">
        <v>3964</v>
      </c>
      <c r="I152" s="77">
        <v>867</v>
      </c>
      <c r="J152" s="80">
        <f t="shared" si="38"/>
        <v>4831</v>
      </c>
      <c r="K152" s="81">
        <f t="shared" si="35"/>
        <v>169</v>
      </c>
      <c r="L152" s="43"/>
      <c r="N152" s="52">
        <v>44317</v>
      </c>
      <c r="O152" s="52">
        <v>44219</v>
      </c>
      <c r="P152" s="52">
        <v>794</v>
      </c>
      <c r="Q152" s="52"/>
      <c r="R152" s="52">
        <v>14993</v>
      </c>
      <c r="S152" s="95">
        <v>889.9</v>
      </c>
      <c r="T152" s="95"/>
      <c r="U152" s="95"/>
      <c r="V152" s="52">
        <v>92912</v>
      </c>
      <c r="W152" s="52">
        <v>94881</v>
      </c>
      <c r="X152" s="52">
        <v>56817</v>
      </c>
      <c r="Y152" s="52">
        <v>92778</v>
      </c>
      <c r="Z152" s="52">
        <v>97683</v>
      </c>
    </row>
    <row r="153" spans="1:26" ht="18" hidden="1" customHeight="1" x14ac:dyDescent="0.2">
      <c r="A153" s="46">
        <v>43004</v>
      </c>
      <c r="B153" s="47" t="s">
        <v>97</v>
      </c>
      <c r="C153" s="48">
        <f t="shared" si="39"/>
        <v>2431</v>
      </c>
      <c r="D153" s="99">
        <f t="shared" si="40"/>
        <v>1512</v>
      </c>
      <c r="E153" s="45">
        <f t="shared" si="41"/>
        <v>897.00000000000546</v>
      </c>
      <c r="F153" s="45">
        <f t="shared" si="42"/>
        <v>87</v>
      </c>
      <c r="G153" s="79">
        <f t="shared" si="43"/>
        <v>4927.0000000000055</v>
      </c>
      <c r="H153" s="77">
        <v>4071</v>
      </c>
      <c r="I153" s="77">
        <v>908</v>
      </c>
      <c r="J153" s="80">
        <f t="shared" si="38"/>
        <v>4979</v>
      </c>
      <c r="K153" s="81">
        <f t="shared" si="35"/>
        <v>51.999999999994543</v>
      </c>
      <c r="L153" s="43"/>
      <c r="N153" s="52">
        <v>44477</v>
      </c>
      <c r="O153" s="52">
        <v>44282</v>
      </c>
      <c r="P153" s="52">
        <v>808</v>
      </c>
      <c r="Q153" s="52"/>
      <c r="R153" s="52">
        <v>15029</v>
      </c>
      <c r="S153" s="95">
        <v>897.9</v>
      </c>
      <c r="T153" s="95"/>
      <c r="U153" s="95"/>
      <c r="V153" s="52">
        <v>93188</v>
      </c>
      <c r="W153" s="52">
        <v>94924</v>
      </c>
      <c r="X153" s="52">
        <v>56862</v>
      </c>
      <c r="Y153" s="52">
        <v>92778</v>
      </c>
      <c r="Z153" s="52">
        <v>97765</v>
      </c>
    </row>
    <row r="154" spans="1:26" ht="18" hidden="1" customHeight="1" x14ac:dyDescent="0.2">
      <c r="A154" s="46">
        <v>43005</v>
      </c>
      <c r="B154" s="47" t="s">
        <v>98</v>
      </c>
      <c r="C154" s="48">
        <f t="shared" si="39"/>
        <v>2087</v>
      </c>
      <c r="D154" s="99">
        <f t="shared" si="40"/>
        <v>1432</v>
      </c>
      <c r="E154" s="45">
        <f t="shared" si="41"/>
        <v>1088.9999999999945</v>
      </c>
      <c r="F154" s="45">
        <f t="shared" si="42"/>
        <v>100</v>
      </c>
      <c r="G154" s="79">
        <f t="shared" si="43"/>
        <v>4707.9999999999945</v>
      </c>
      <c r="H154" s="77">
        <v>3822</v>
      </c>
      <c r="I154" s="77">
        <v>959</v>
      </c>
      <c r="J154" s="80">
        <f t="shared" si="38"/>
        <v>4781</v>
      </c>
      <c r="K154" s="81">
        <f t="shared" si="35"/>
        <v>73.000000000005457</v>
      </c>
      <c r="L154" s="43"/>
      <c r="N154" s="52">
        <v>44657</v>
      </c>
      <c r="O154" s="52">
        <v>44349</v>
      </c>
      <c r="P154" s="52">
        <v>817</v>
      </c>
      <c r="Q154" s="52"/>
      <c r="R154" s="52">
        <v>15062</v>
      </c>
      <c r="S154" s="95">
        <v>905.1</v>
      </c>
      <c r="T154" s="95"/>
      <c r="U154" s="95"/>
      <c r="V154" s="52">
        <v>93495</v>
      </c>
      <c r="W154" s="52">
        <v>94969</v>
      </c>
      <c r="X154" s="52">
        <v>56919</v>
      </c>
      <c r="Y154" s="52">
        <v>92778</v>
      </c>
      <c r="Z154" s="52">
        <v>97852</v>
      </c>
    </row>
    <row r="155" spans="1:26" ht="18" hidden="1" customHeight="1" x14ac:dyDescent="0.2">
      <c r="A155" s="46">
        <v>43006</v>
      </c>
      <c r="B155" s="47" t="s">
        <v>99</v>
      </c>
      <c r="C155" s="48">
        <f t="shared" si="39"/>
        <v>2141</v>
      </c>
      <c r="D155" s="99">
        <f t="shared" si="40"/>
        <v>1584</v>
      </c>
      <c r="E155" s="45">
        <f t="shared" si="41"/>
        <v>748</v>
      </c>
      <c r="F155" s="45">
        <f t="shared" si="42"/>
        <v>95</v>
      </c>
      <c r="G155" s="79">
        <f t="shared" si="43"/>
        <v>4568</v>
      </c>
      <c r="H155" s="77">
        <v>3747</v>
      </c>
      <c r="I155" s="77">
        <v>1056</v>
      </c>
      <c r="J155" s="80">
        <f t="shared" si="38"/>
        <v>4803</v>
      </c>
      <c r="K155" s="81">
        <f t="shared" si="35"/>
        <v>235</v>
      </c>
      <c r="L155" s="43"/>
      <c r="N155" s="52">
        <v>44827</v>
      </c>
      <c r="O155" s="52">
        <v>44417</v>
      </c>
      <c r="P155" s="52">
        <v>826</v>
      </c>
      <c r="Q155" s="52"/>
      <c r="R155" s="52">
        <v>15095</v>
      </c>
      <c r="S155" s="95">
        <v>913.9</v>
      </c>
      <c r="T155" s="95"/>
      <c r="U155" s="95"/>
      <c r="V155" s="52">
        <v>93782</v>
      </c>
      <c r="W155" s="52">
        <v>95008</v>
      </c>
      <c r="X155" s="52">
        <v>56965</v>
      </c>
      <c r="Y155" s="52">
        <v>92778</v>
      </c>
      <c r="Z155" s="52">
        <v>97952</v>
      </c>
    </row>
    <row r="156" spans="1:26" ht="18" hidden="1" customHeight="1" x14ac:dyDescent="0.2">
      <c r="A156" s="46">
        <v>43007</v>
      </c>
      <c r="B156" s="47" t="s">
        <v>100</v>
      </c>
      <c r="C156" s="48">
        <f t="shared" si="39"/>
        <v>2349</v>
      </c>
      <c r="D156" s="99">
        <f t="shared" si="40"/>
        <v>1600</v>
      </c>
      <c r="E156" s="45">
        <f t="shared" si="41"/>
        <v>904.00000000000819</v>
      </c>
      <c r="F156" s="45">
        <f t="shared" si="42"/>
        <v>89</v>
      </c>
      <c r="G156" s="79">
        <f t="shared" si="43"/>
        <v>4942.0000000000082</v>
      </c>
      <c r="H156" s="77">
        <v>4057</v>
      </c>
      <c r="I156" s="77">
        <v>925</v>
      </c>
      <c r="J156" s="80">
        <f t="shared" si="38"/>
        <v>4982</v>
      </c>
      <c r="K156" s="81">
        <f t="shared" si="35"/>
        <v>39.999999999991815</v>
      </c>
      <c r="L156" s="43"/>
      <c r="N156" s="52">
        <v>45017</v>
      </c>
      <c r="O156" s="52">
        <v>44486</v>
      </c>
      <c r="P156" s="52">
        <v>834</v>
      </c>
      <c r="Q156" s="52"/>
      <c r="R156" s="52">
        <v>15123</v>
      </c>
      <c r="S156" s="95">
        <v>919.9</v>
      </c>
      <c r="T156" s="95"/>
      <c r="U156" s="95"/>
      <c r="V156" s="52">
        <v>94011</v>
      </c>
      <c r="W156" s="52">
        <v>95049</v>
      </c>
      <c r="X156" s="52">
        <v>57015</v>
      </c>
      <c r="Y156" s="52">
        <v>92778</v>
      </c>
      <c r="Z156" s="52">
        <v>98047</v>
      </c>
    </row>
    <row r="157" spans="1:26" ht="18" hidden="1" customHeight="1" x14ac:dyDescent="0.2">
      <c r="A157" s="46">
        <v>43008</v>
      </c>
      <c r="B157" s="56" t="s">
        <v>103</v>
      </c>
      <c r="C157" s="48"/>
      <c r="D157" s="99"/>
      <c r="E157" s="45"/>
      <c r="F157" s="45"/>
      <c r="G157" s="79"/>
      <c r="H157" s="77"/>
      <c r="I157" s="77">
        <v>4891</v>
      </c>
      <c r="J157" s="80">
        <f t="shared" si="38"/>
        <v>4891</v>
      </c>
      <c r="K157" s="81">
        <v>0</v>
      </c>
      <c r="L157" s="43"/>
      <c r="N157" s="52">
        <v>45207</v>
      </c>
      <c r="O157" s="52">
        <v>44557</v>
      </c>
      <c r="P157" s="52">
        <v>844</v>
      </c>
      <c r="Q157" s="52"/>
      <c r="R157" s="52">
        <v>15151</v>
      </c>
      <c r="S157" s="95">
        <v>927.2</v>
      </c>
      <c r="T157" s="95"/>
      <c r="U157" s="95"/>
      <c r="V157" s="52">
        <v>94344</v>
      </c>
      <c r="W157" s="52">
        <v>95091</v>
      </c>
      <c r="X157" s="52">
        <v>57071</v>
      </c>
      <c r="Y157" s="52">
        <v>92778</v>
      </c>
      <c r="Z157" s="52">
        <v>98136</v>
      </c>
    </row>
    <row r="158" spans="1:26" ht="18" hidden="1" customHeight="1" x14ac:dyDescent="0.2">
      <c r="A158" s="46">
        <v>43009</v>
      </c>
      <c r="B158" s="56" t="s">
        <v>104</v>
      </c>
      <c r="C158" s="48">
        <f>(V159-V158)*1+(W159-W158)*32+(X159-X158)*12+(Y159-Y158)*6</f>
        <v>2569</v>
      </c>
      <c r="D158" s="99">
        <f t="shared" ref="D158:D190" si="44">(N159-N158)*8+(P159-P158)*8</f>
        <v>3360</v>
      </c>
      <c r="E158" s="45">
        <f t="shared" ref="E158:E190" si="45">(R159-R158)*1+(S159-S158)*120</f>
        <v>1772.9999999999945</v>
      </c>
      <c r="F158" s="45">
        <f>(Z159-Z158)*1</f>
        <v>178</v>
      </c>
      <c r="G158" s="79">
        <f>C158+D158+F158+E158</f>
        <v>7879.9999999999945</v>
      </c>
      <c r="H158" s="77">
        <v>0</v>
      </c>
      <c r="I158" s="77">
        <v>3298</v>
      </c>
      <c r="J158" s="80">
        <f t="shared" si="38"/>
        <v>3298</v>
      </c>
      <c r="K158" s="81">
        <f>J158+J157-G158</f>
        <v>309.00000000000546</v>
      </c>
      <c r="L158" s="43"/>
      <c r="N158" s="55">
        <v>45207</v>
      </c>
      <c r="O158" s="55">
        <v>44557</v>
      </c>
      <c r="P158" s="55">
        <v>844</v>
      </c>
      <c r="Q158" s="55"/>
      <c r="R158" s="55">
        <v>15151</v>
      </c>
      <c r="S158" s="96">
        <v>927.2</v>
      </c>
      <c r="T158" s="96"/>
      <c r="U158" s="96"/>
      <c r="V158" s="55">
        <v>94344</v>
      </c>
      <c r="W158" s="55">
        <v>95091</v>
      </c>
      <c r="X158" s="55">
        <v>57071</v>
      </c>
      <c r="Y158" s="55">
        <v>92778</v>
      </c>
      <c r="Z158" s="55">
        <v>98136</v>
      </c>
    </row>
    <row r="159" spans="1:26" ht="18" hidden="1" customHeight="1" x14ac:dyDescent="0.2">
      <c r="A159" s="46">
        <v>43010</v>
      </c>
      <c r="B159" s="47" t="s">
        <v>96</v>
      </c>
      <c r="C159" s="48">
        <f t="shared" ref="C159:C188" si="46">(V160-V159)*1+(W160-W159)*32+(X160-X159)*12+(Y160-Y159)*6</f>
        <v>2434</v>
      </c>
      <c r="D159" s="99">
        <f t="shared" si="44"/>
        <v>1632</v>
      </c>
      <c r="E159" s="45">
        <f t="shared" si="45"/>
        <v>951.00000000000546</v>
      </c>
      <c r="F159" s="45">
        <f t="shared" ref="F159:F188" si="47">(Z160-Z159)*1</f>
        <v>91</v>
      </c>
      <c r="G159" s="79">
        <f>C159+D159+F159+E159</f>
        <v>5108.0000000000055</v>
      </c>
      <c r="H159" s="77">
        <v>4320</v>
      </c>
      <c r="I159" s="77">
        <v>962</v>
      </c>
      <c r="J159" s="80">
        <f t="shared" si="38"/>
        <v>5282</v>
      </c>
      <c r="K159" s="81">
        <f t="shared" si="35"/>
        <v>173.99999999999454</v>
      </c>
      <c r="L159" s="43"/>
      <c r="N159" s="52">
        <v>45607</v>
      </c>
      <c r="O159" s="52">
        <v>44711</v>
      </c>
      <c r="P159" s="52">
        <v>864</v>
      </c>
      <c r="Q159" s="52"/>
      <c r="R159" s="52">
        <v>15208</v>
      </c>
      <c r="S159" s="95">
        <v>941.5</v>
      </c>
      <c r="T159" s="95"/>
      <c r="U159" s="95"/>
      <c r="V159" s="52">
        <v>94793</v>
      </c>
      <c r="W159" s="52">
        <v>95140</v>
      </c>
      <c r="X159" s="52">
        <v>57117</v>
      </c>
      <c r="Y159" s="52">
        <v>92778</v>
      </c>
      <c r="Z159" s="52">
        <v>98314</v>
      </c>
    </row>
    <row r="160" spans="1:26" ht="18" hidden="1" customHeight="1" x14ac:dyDescent="0.2">
      <c r="A160" s="46">
        <v>43011</v>
      </c>
      <c r="B160" s="47" t="s">
        <v>97</v>
      </c>
      <c r="C160" s="48">
        <f t="shared" si="46"/>
        <v>0</v>
      </c>
      <c r="D160" s="99">
        <f t="shared" si="44"/>
        <v>0</v>
      </c>
      <c r="E160" s="45">
        <f t="shared" si="45"/>
        <v>0</v>
      </c>
      <c r="F160" s="45">
        <f t="shared" si="47"/>
        <v>0</v>
      </c>
      <c r="G160" s="79">
        <f>C160+D160+F160+E160</f>
        <v>0</v>
      </c>
      <c r="H160" s="77">
        <v>4287</v>
      </c>
      <c r="I160" s="77">
        <v>993</v>
      </c>
      <c r="J160" s="80">
        <f t="shared" si="38"/>
        <v>5280</v>
      </c>
      <c r="K160" s="81">
        <v>0</v>
      </c>
      <c r="L160" s="43"/>
      <c r="N160" s="52">
        <v>45797</v>
      </c>
      <c r="O160" s="52">
        <v>44787</v>
      </c>
      <c r="P160" s="52">
        <v>878</v>
      </c>
      <c r="Q160" s="52"/>
      <c r="R160" s="52">
        <v>15235</v>
      </c>
      <c r="S160" s="95">
        <v>949.2</v>
      </c>
      <c r="T160" s="95"/>
      <c r="U160" s="95"/>
      <c r="V160" s="52">
        <v>95107</v>
      </c>
      <c r="W160" s="52">
        <v>95186</v>
      </c>
      <c r="X160" s="52">
        <v>57171</v>
      </c>
      <c r="Y160" s="52">
        <v>92778</v>
      </c>
      <c r="Z160" s="52">
        <v>98405</v>
      </c>
    </row>
    <row r="161" spans="1:26" ht="18" hidden="1" customHeight="1" x14ac:dyDescent="0.2">
      <c r="A161" s="46">
        <v>43012</v>
      </c>
      <c r="B161" s="47" t="s">
        <v>98</v>
      </c>
      <c r="C161" s="48">
        <f t="shared" si="46"/>
        <v>2983</v>
      </c>
      <c r="D161" s="99">
        <f t="shared" si="44"/>
        <v>3504</v>
      </c>
      <c r="E161" s="45">
        <f t="shared" si="45"/>
        <v>1696.9999999999918</v>
      </c>
      <c r="F161" s="45">
        <f t="shared" si="47"/>
        <v>165</v>
      </c>
      <c r="G161" s="79">
        <f>C161+D161+F161+E161</f>
        <v>8348.9999999999927</v>
      </c>
      <c r="H161" s="77">
        <v>0</v>
      </c>
      <c r="I161" s="77">
        <v>3322</v>
      </c>
      <c r="J161" s="80">
        <f t="shared" si="38"/>
        <v>3322</v>
      </c>
      <c r="K161" s="81">
        <f>J161+J160-G161</f>
        <v>253.00000000000728</v>
      </c>
      <c r="L161" s="43"/>
      <c r="N161" s="55">
        <v>45797</v>
      </c>
      <c r="O161" s="55">
        <v>44787</v>
      </c>
      <c r="P161" s="55">
        <v>878</v>
      </c>
      <c r="Q161" s="55"/>
      <c r="R161" s="55">
        <v>15235</v>
      </c>
      <c r="S161" s="96">
        <v>949.2</v>
      </c>
      <c r="T161" s="96"/>
      <c r="U161" s="96"/>
      <c r="V161" s="55">
        <v>95107</v>
      </c>
      <c r="W161" s="55">
        <v>95186</v>
      </c>
      <c r="X161" s="55">
        <v>57171</v>
      </c>
      <c r="Y161" s="55">
        <v>92778</v>
      </c>
      <c r="Z161" s="55">
        <v>98405</v>
      </c>
    </row>
    <row r="162" spans="1:26" ht="18" hidden="1" customHeight="1" x14ac:dyDescent="0.2">
      <c r="A162" s="46">
        <v>43013</v>
      </c>
      <c r="B162" s="47" t="s">
        <v>99</v>
      </c>
      <c r="C162" s="48">
        <f t="shared" si="46"/>
        <v>2765</v>
      </c>
      <c r="D162" s="99">
        <f t="shared" si="44"/>
        <v>1768</v>
      </c>
      <c r="E162" s="45">
        <f t="shared" si="45"/>
        <v>861.99999999999727</v>
      </c>
      <c r="F162" s="45">
        <f t="shared" si="47"/>
        <v>89</v>
      </c>
      <c r="G162" s="79">
        <f>C162+D162+F162+E162</f>
        <v>5483.9999999999973</v>
      </c>
      <c r="H162" s="77">
        <v>4615</v>
      </c>
      <c r="I162" s="77">
        <v>961</v>
      </c>
      <c r="J162" s="80">
        <f t="shared" si="38"/>
        <v>5576</v>
      </c>
      <c r="K162" s="81">
        <f t="shared" si="35"/>
        <v>92.000000000002728</v>
      </c>
      <c r="L162" s="43"/>
      <c r="N162" s="52">
        <v>46217</v>
      </c>
      <c r="O162" s="52">
        <v>44944</v>
      </c>
      <c r="P162" s="52">
        <v>896</v>
      </c>
      <c r="Q162" s="52"/>
      <c r="R162" s="52">
        <v>15288</v>
      </c>
      <c r="S162" s="95">
        <v>962.9</v>
      </c>
      <c r="T162" s="95"/>
      <c r="U162" s="95"/>
      <c r="V162" s="52">
        <v>95530</v>
      </c>
      <c r="W162" s="52">
        <v>95245</v>
      </c>
      <c r="X162" s="52">
        <v>57227</v>
      </c>
      <c r="Y162" s="52">
        <v>92778</v>
      </c>
      <c r="Z162" s="52">
        <v>98570</v>
      </c>
    </row>
    <row r="163" spans="1:26" ht="18" hidden="1" customHeight="1" x14ac:dyDescent="0.2">
      <c r="A163" s="46">
        <v>43014</v>
      </c>
      <c r="B163" s="47" t="s">
        <v>100</v>
      </c>
      <c r="C163" s="48">
        <f t="shared" si="46"/>
        <v>0</v>
      </c>
      <c r="D163" s="99">
        <f t="shared" si="44"/>
        <v>0</v>
      </c>
      <c r="E163" s="45">
        <f t="shared" si="45"/>
        <v>0</v>
      </c>
      <c r="F163" s="45">
        <f t="shared" si="47"/>
        <v>0</v>
      </c>
      <c r="G163" s="79">
        <v>0</v>
      </c>
      <c r="H163" s="77">
        <v>4445</v>
      </c>
      <c r="I163" s="77">
        <v>1026</v>
      </c>
      <c r="J163" s="80">
        <f t="shared" si="38"/>
        <v>5471</v>
      </c>
      <c r="K163" s="81">
        <v>0</v>
      </c>
      <c r="L163" s="43"/>
      <c r="N163" s="52">
        <v>46427</v>
      </c>
      <c r="O163" s="52">
        <v>45027</v>
      </c>
      <c r="P163" s="52">
        <v>907</v>
      </c>
      <c r="Q163" s="52"/>
      <c r="R163" s="52">
        <v>15322</v>
      </c>
      <c r="S163" s="95">
        <v>969.8</v>
      </c>
      <c r="T163" s="95"/>
      <c r="U163" s="95"/>
      <c r="V163" s="52">
        <v>95815</v>
      </c>
      <c r="W163" s="52">
        <v>95294</v>
      </c>
      <c r="X163" s="52">
        <v>57303</v>
      </c>
      <c r="Y163" s="52">
        <v>92778</v>
      </c>
      <c r="Z163" s="52">
        <v>98659</v>
      </c>
    </row>
    <row r="164" spans="1:26" ht="18" hidden="1" customHeight="1" x14ac:dyDescent="0.2">
      <c r="A164" s="46">
        <v>43015</v>
      </c>
      <c r="B164" s="56" t="s">
        <v>103</v>
      </c>
      <c r="C164" s="48">
        <f t="shared" si="46"/>
        <v>0</v>
      </c>
      <c r="D164" s="99">
        <f t="shared" si="44"/>
        <v>0</v>
      </c>
      <c r="E164" s="45">
        <f t="shared" si="45"/>
        <v>0</v>
      </c>
      <c r="F164" s="45">
        <f t="shared" si="47"/>
        <v>0</v>
      </c>
      <c r="G164" s="79">
        <v>0</v>
      </c>
      <c r="H164" s="77">
        <v>0</v>
      </c>
      <c r="I164" s="77">
        <v>3983</v>
      </c>
      <c r="J164" s="80">
        <f t="shared" si="38"/>
        <v>3983</v>
      </c>
      <c r="K164" s="81">
        <v>0</v>
      </c>
      <c r="L164" s="43"/>
      <c r="N164" s="55">
        <v>46427</v>
      </c>
      <c r="O164" s="55">
        <v>45027</v>
      </c>
      <c r="P164" s="55">
        <v>907</v>
      </c>
      <c r="Q164" s="55"/>
      <c r="R164" s="55">
        <v>15322</v>
      </c>
      <c r="S164" s="96">
        <v>969.8</v>
      </c>
      <c r="T164" s="96"/>
      <c r="U164" s="96"/>
      <c r="V164" s="55">
        <v>95815</v>
      </c>
      <c r="W164" s="55">
        <v>95294</v>
      </c>
      <c r="X164" s="55">
        <v>57303</v>
      </c>
      <c r="Y164" s="55">
        <v>92778</v>
      </c>
      <c r="Z164" s="55">
        <v>98659</v>
      </c>
    </row>
    <row r="165" spans="1:26" ht="18" hidden="1" customHeight="1" x14ac:dyDescent="0.2">
      <c r="A165" s="46">
        <v>43016</v>
      </c>
      <c r="B165" s="56" t="s">
        <v>104</v>
      </c>
      <c r="C165" s="48">
        <f t="shared" si="46"/>
        <v>0</v>
      </c>
      <c r="D165" s="99">
        <f t="shared" si="44"/>
        <v>0</v>
      </c>
      <c r="E165" s="45">
        <f t="shared" si="45"/>
        <v>0</v>
      </c>
      <c r="F165" s="45">
        <f t="shared" si="47"/>
        <v>0</v>
      </c>
      <c r="G165" s="79">
        <v>0</v>
      </c>
      <c r="H165" s="77">
        <v>0</v>
      </c>
      <c r="I165" s="77">
        <v>2728</v>
      </c>
      <c r="J165" s="80">
        <f t="shared" si="38"/>
        <v>2728</v>
      </c>
      <c r="K165" s="81">
        <v>0</v>
      </c>
      <c r="L165" s="43"/>
      <c r="N165" s="55">
        <v>46427</v>
      </c>
      <c r="O165" s="55">
        <v>45027</v>
      </c>
      <c r="P165" s="55">
        <v>907</v>
      </c>
      <c r="Q165" s="55"/>
      <c r="R165" s="55">
        <v>15322</v>
      </c>
      <c r="S165" s="96">
        <v>969.8</v>
      </c>
      <c r="T165" s="96"/>
      <c r="U165" s="96"/>
      <c r="V165" s="55">
        <v>95815</v>
      </c>
      <c r="W165" s="55">
        <v>95294</v>
      </c>
      <c r="X165" s="55">
        <v>57303</v>
      </c>
      <c r="Y165" s="55">
        <v>92778</v>
      </c>
      <c r="Z165" s="55">
        <v>98659</v>
      </c>
    </row>
    <row r="166" spans="1:26" ht="18" hidden="1" customHeight="1" x14ac:dyDescent="0.2">
      <c r="A166" s="46">
        <v>43017</v>
      </c>
      <c r="B166" s="56" t="s">
        <v>105</v>
      </c>
      <c r="C166" s="48">
        <f t="shared" si="46"/>
        <v>0</v>
      </c>
      <c r="D166" s="99">
        <f t="shared" si="44"/>
        <v>0</v>
      </c>
      <c r="E166" s="45">
        <f t="shared" si="45"/>
        <v>0</v>
      </c>
      <c r="F166" s="45">
        <f t="shared" si="47"/>
        <v>0</v>
      </c>
      <c r="G166" s="79">
        <v>0</v>
      </c>
      <c r="H166" s="77">
        <v>2225</v>
      </c>
      <c r="I166" s="77">
        <v>716</v>
      </c>
      <c r="J166" s="80">
        <f t="shared" si="38"/>
        <v>2941</v>
      </c>
      <c r="K166" s="81">
        <v>0</v>
      </c>
      <c r="L166" s="43"/>
      <c r="N166" s="55">
        <v>46427</v>
      </c>
      <c r="O166" s="55">
        <v>45027</v>
      </c>
      <c r="P166" s="55">
        <v>907</v>
      </c>
      <c r="Q166" s="55"/>
      <c r="R166" s="55">
        <v>15322</v>
      </c>
      <c r="S166" s="96">
        <v>969.8</v>
      </c>
      <c r="T166" s="96"/>
      <c r="U166" s="96"/>
      <c r="V166" s="55">
        <v>95815</v>
      </c>
      <c r="W166" s="55">
        <v>95294</v>
      </c>
      <c r="X166" s="55">
        <v>57303</v>
      </c>
      <c r="Y166" s="55">
        <v>92778</v>
      </c>
      <c r="Z166" s="55">
        <v>98659</v>
      </c>
    </row>
    <row r="167" spans="1:26" ht="18" hidden="1" customHeight="1" x14ac:dyDescent="0.2">
      <c r="A167" s="46">
        <v>43018</v>
      </c>
      <c r="B167" s="56" t="s">
        <v>106</v>
      </c>
      <c r="C167" s="48">
        <f t="shared" si="46"/>
        <v>6387</v>
      </c>
      <c r="D167" s="99">
        <f t="shared" si="44"/>
        <v>5912</v>
      </c>
      <c r="E167" s="45">
        <f t="shared" si="45"/>
        <v>4755.0000000000082</v>
      </c>
      <c r="F167" s="45">
        <f t="shared" si="47"/>
        <v>390</v>
      </c>
      <c r="G167" s="79">
        <f t="shared" ref="G167:G172" si="48">C167+D167+F167+E167</f>
        <v>17444.000000000007</v>
      </c>
      <c r="H167" s="77">
        <v>0</v>
      </c>
      <c r="I167" s="77">
        <v>3074</v>
      </c>
      <c r="J167" s="80">
        <f t="shared" si="38"/>
        <v>3074</v>
      </c>
      <c r="K167" s="81">
        <f>J167+J166+J165+J164+J163-G167</f>
        <v>752.99999999999272</v>
      </c>
      <c r="L167" s="43"/>
      <c r="N167" s="55">
        <v>46427</v>
      </c>
      <c r="O167" s="55">
        <v>45027</v>
      </c>
      <c r="P167" s="55">
        <v>907</v>
      </c>
      <c r="Q167" s="55"/>
      <c r="R167" s="55">
        <v>15322</v>
      </c>
      <c r="S167" s="96">
        <v>969.8</v>
      </c>
      <c r="T167" s="96"/>
      <c r="U167" s="96"/>
      <c r="V167" s="55">
        <v>95815</v>
      </c>
      <c r="W167" s="55">
        <v>95294</v>
      </c>
      <c r="X167" s="55">
        <v>57303</v>
      </c>
      <c r="Y167" s="55">
        <v>92778</v>
      </c>
      <c r="Z167" s="55">
        <v>98659</v>
      </c>
    </row>
    <row r="168" spans="1:26" ht="18" hidden="1" customHeight="1" x14ac:dyDescent="0.2">
      <c r="A168" s="46">
        <v>43019</v>
      </c>
      <c r="B168" s="47" t="s">
        <v>98</v>
      </c>
      <c r="C168" s="48">
        <f t="shared" si="46"/>
        <v>2801</v>
      </c>
      <c r="D168" s="99">
        <f t="shared" si="44"/>
        <v>1600</v>
      </c>
      <c r="E168" s="45">
        <f t="shared" si="45"/>
        <v>872</v>
      </c>
      <c r="F168" s="45">
        <f t="shared" si="47"/>
        <v>89</v>
      </c>
      <c r="G168" s="79">
        <f t="shared" si="48"/>
        <v>5362</v>
      </c>
      <c r="H168" s="77">
        <v>4625</v>
      </c>
      <c r="I168" s="77">
        <v>926</v>
      </c>
      <c r="J168" s="80">
        <f t="shared" si="38"/>
        <v>5551</v>
      </c>
      <c r="K168" s="81">
        <f t="shared" si="35"/>
        <v>189</v>
      </c>
      <c r="L168" s="43"/>
      <c r="N168" s="52">
        <v>47127</v>
      </c>
      <c r="O168" s="52">
        <v>45287</v>
      </c>
      <c r="P168" s="52">
        <v>946</v>
      </c>
      <c r="Q168" s="52"/>
      <c r="R168" s="52">
        <v>15481</v>
      </c>
      <c r="S168" s="95">
        <v>1008.1</v>
      </c>
      <c r="T168" s="95"/>
      <c r="U168" s="95"/>
      <c r="V168" s="52">
        <v>96850</v>
      </c>
      <c r="W168" s="52">
        <v>95420</v>
      </c>
      <c r="X168" s="52">
        <v>57413</v>
      </c>
      <c r="Y168" s="52">
        <v>92778</v>
      </c>
      <c r="Z168" s="52">
        <v>99049</v>
      </c>
    </row>
    <row r="169" spans="1:26" ht="18" hidden="1" customHeight="1" x14ac:dyDescent="0.2">
      <c r="A169" s="46">
        <v>43020</v>
      </c>
      <c r="B169" s="47" t="s">
        <v>99</v>
      </c>
      <c r="C169" s="48">
        <f t="shared" si="46"/>
        <v>2489</v>
      </c>
      <c r="D169" s="99">
        <f t="shared" si="44"/>
        <v>1608</v>
      </c>
      <c r="E169" s="45">
        <f t="shared" si="45"/>
        <v>999.00000000000273</v>
      </c>
      <c r="F169" s="45">
        <f t="shared" si="47"/>
        <v>78</v>
      </c>
      <c r="G169" s="79">
        <f t="shared" si="48"/>
        <v>5174.0000000000027</v>
      </c>
      <c r="H169" s="77">
        <v>4276</v>
      </c>
      <c r="I169" s="77">
        <v>937</v>
      </c>
      <c r="J169" s="80">
        <f t="shared" si="38"/>
        <v>5213</v>
      </c>
      <c r="K169" s="81">
        <f t="shared" si="35"/>
        <v>38.999999999997272</v>
      </c>
      <c r="L169" s="43"/>
      <c r="N169" s="52">
        <v>47317</v>
      </c>
      <c r="O169" s="52">
        <v>45355</v>
      </c>
      <c r="P169" s="52">
        <v>956</v>
      </c>
      <c r="Q169" s="52"/>
      <c r="R169" s="52">
        <v>15513</v>
      </c>
      <c r="S169" s="95">
        <v>1015.1</v>
      </c>
      <c r="T169" s="95"/>
      <c r="U169" s="95"/>
      <c r="V169" s="52">
        <v>97139</v>
      </c>
      <c r="W169" s="52">
        <v>95470</v>
      </c>
      <c r="X169" s="52">
        <v>57489</v>
      </c>
      <c r="Y169" s="52">
        <v>92778</v>
      </c>
      <c r="Z169" s="52">
        <v>99138</v>
      </c>
    </row>
    <row r="170" spans="1:26" ht="18" hidden="1" customHeight="1" x14ac:dyDescent="0.2">
      <c r="A170" s="46">
        <v>43021</v>
      </c>
      <c r="B170" s="47" t="s">
        <v>100</v>
      </c>
      <c r="C170" s="48">
        <f t="shared" si="46"/>
        <v>0</v>
      </c>
      <c r="D170" s="99">
        <f t="shared" si="44"/>
        <v>0</v>
      </c>
      <c r="E170" s="45">
        <f t="shared" si="45"/>
        <v>0</v>
      </c>
      <c r="F170" s="45">
        <f t="shared" si="47"/>
        <v>0</v>
      </c>
      <c r="G170" s="79">
        <f t="shared" si="48"/>
        <v>0</v>
      </c>
      <c r="H170" s="77">
        <v>3857</v>
      </c>
      <c r="I170" s="77">
        <v>928</v>
      </c>
      <c r="J170" s="80">
        <f t="shared" si="38"/>
        <v>4785</v>
      </c>
      <c r="K170" s="81">
        <v>0</v>
      </c>
      <c r="L170" s="43"/>
      <c r="N170" s="52">
        <v>47507</v>
      </c>
      <c r="O170" s="52">
        <v>45429</v>
      </c>
      <c r="P170" s="52">
        <v>967</v>
      </c>
      <c r="Q170" s="52"/>
      <c r="R170" s="52">
        <v>15540</v>
      </c>
      <c r="S170" s="95">
        <v>1023.2</v>
      </c>
      <c r="T170" s="95"/>
      <c r="U170" s="95"/>
      <c r="V170" s="52">
        <v>97384</v>
      </c>
      <c r="W170" s="52">
        <v>95512</v>
      </c>
      <c r="X170" s="52">
        <v>57564</v>
      </c>
      <c r="Y170" s="52">
        <v>92778</v>
      </c>
      <c r="Z170" s="52">
        <v>99216</v>
      </c>
    </row>
    <row r="171" spans="1:26" ht="18" hidden="1" customHeight="1" x14ac:dyDescent="0.2">
      <c r="A171" s="111">
        <v>43022</v>
      </c>
      <c r="B171" s="56" t="s">
        <v>103</v>
      </c>
      <c r="C171" s="48">
        <f t="shared" si="46"/>
        <v>0</v>
      </c>
      <c r="D171" s="99">
        <f t="shared" si="44"/>
        <v>0</v>
      </c>
      <c r="E171" s="45">
        <f t="shared" si="45"/>
        <v>0</v>
      </c>
      <c r="F171" s="45">
        <f t="shared" si="47"/>
        <v>0</v>
      </c>
      <c r="G171" s="79">
        <f t="shared" si="48"/>
        <v>0</v>
      </c>
      <c r="H171" s="77">
        <v>0</v>
      </c>
      <c r="I171" s="77">
        <v>3138</v>
      </c>
      <c r="J171" s="80">
        <f t="shared" si="38"/>
        <v>3138</v>
      </c>
      <c r="K171" s="81">
        <v>0</v>
      </c>
      <c r="L171" s="43"/>
      <c r="N171" s="102">
        <v>47507</v>
      </c>
      <c r="O171" s="102">
        <v>45429</v>
      </c>
      <c r="P171" s="102">
        <v>967</v>
      </c>
      <c r="Q171" s="102"/>
      <c r="R171" s="102">
        <v>15540</v>
      </c>
      <c r="S171" s="103">
        <v>1023.2</v>
      </c>
      <c r="T171" s="103"/>
      <c r="U171" s="103"/>
      <c r="V171" s="102">
        <v>97384</v>
      </c>
      <c r="W171" s="102">
        <v>95512</v>
      </c>
      <c r="X171" s="102">
        <v>57564</v>
      </c>
      <c r="Y171" s="102">
        <v>92778</v>
      </c>
      <c r="Z171" s="102">
        <v>99216</v>
      </c>
    </row>
    <row r="172" spans="1:26" ht="18" hidden="1" customHeight="1" x14ac:dyDescent="0.2">
      <c r="A172" s="111">
        <v>43023</v>
      </c>
      <c r="B172" s="56" t="s">
        <v>104</v>
      </c>
      <c r="C172" s="48">
        <f t="shared" si="46"/>
        <v>3400</v>
      </c>
      <c r="D172" s="99">
        <f t="shared" si="44"/>
        <v>4456</v>
      </c>
      <c r="E172" s="45">
        <f t="shared" si="45"/>
        <v>2583.9999999999945</v>
      </c>
      <c r="F172" s="45">
        <f t="shared" si="47"/>
        <v>175</v>
      </c>
      <c r="G172" s="79">
        <f t="shared" si="48"/>
        <v>10614.999999999995</v>
      </c>
      <c r="H172" s="77">
        <v>0</v>
      </c>
      <c r="I172" s="77">
        <v>3193</v>
      </c>
      <c r="J172" s="80">
        <f t="shared" si="38"/>
        <v>3193</v>
      </c>
      <c r="K172" s="81">
        <f>J172+J170+J171-G172</f>
        <v>501.00000000000546</v>
      </c>
      <c r="L172" s="43"/>
      <c r="N172" s="102">
        <v>47507</v>
      </c>
      <c r="O172" s="102">
        <v>45429</v>
      </c>
      <c r="P172" s="102">
        <v>967</v>
      </c>
      <c r="Q172" s="102"/>
      <c r="R172" s="102">
        <v>15540</v>
      </c>
      <c r="S172" s="103">
        <v>1023.2</v>
      </c>
      <c r="T172" s="103"/>
      <c r="U172" s="103"/>
      <c r="V172" s="102">
        <v>97384</v>
      </c>
      <c r="W172" s="102">
        <v>95512</v>
      </c>
      <c r="X172" s="102">
        <v>57564</v>
      </c>
      <c r="Y172" s="102">
        <v>92778</v>
      </c>
      <c r="Z172" s="102">
        <v>99216</v>
      </c>
    </row>
    <row r="173" spans="1:26" ht="18" hidden="1" customHeight="1" x14ac:dyDescent="0.2">
      <c r="A173" s="46">
        <v>43024</v>
      </c>
      <c r="B173" s="47" t="s">
        <v>96</v>
      </c>
      <c r="C173" s="48">
        <f t="shared" si="46"/>
        <v>2925</v>
      </c>
      <c r="D173" s="99">
        <f t="shared" si="44"/>
        <v>1502.3999999999996</v>
      </c>
      <c r="E173" s="45">
        <f t="shared" si="45"/>
        <v>817.99999999998909</v>
      </c>
      <c r="F173" s="45">
        <f t="shared" si="47"/>
        <v>47</v>
      </c>
      <c r="G173" s="79">
        <f>C173+D173+F173+E173</f>
        <v>5292.3999999999887</v>
      </c>
      <c r="H173" s="77">
        <v>4534</v>
      </c>
      <c r="I173" s="77">
        <v>887</v>
      </c>
      <c r="J173" s="80">
        <f t="shared" si="38"/>
        <v>5421</v>
      </c>
      <c r="K173" s="81">
        <f t="shared" si="35"/>
        <v>128.60000000001128</v>
      </c>
      <c r="L173" s="43"/>
      <c r="N173" s="52">
        <v>48037</v>
      </c>
      <c r="O173" s="52">
        <v>45629</v>
      </c>
      <c r="P173" s="52">
        <v>994</v>
      </c>
      <c r="Q173" s="52"/>
      <c r="R173" s="52">
        <v>15628</v>
      </c>
      <c r="S173" s="95">
        <v>1044</v>
      </c>
      <c r="T173" s="95"/>
      <c r="U173" s="95"/>
      <c r="V173" s="52">
        <v>97928</v>
      </c>
      <c r="W173" s="52">
        <v>95578</v>
      </c>
      <c r="X173" s="52">
        <v>57626</v>
      </c>
      <c r="Y173" s="52">
        <v>92778</v>
      </c>
      <c r="Z173" s="52">
        <v>99391</v>
      </c>
    </row>
    <row r="174" spans="1:26" ht="18" hidden="1" customHeight="1" x14ac:dyDescent="0.2">
      <c r="A174" s="46">
        <v>43025</v>
      </c>
      <c r="B174" s="47" t="s">
        <v>97</v>
      </c>
      <c r="C174" s="48">
        <f t="shared" si="46"/>
        <v>2576</v>
      </c>
      <c r="D174" s="99">
        <f t="shared" si="44"/>
        <v>1649.6000000000004</v>
      </c>
      <c r="E174" s="45">
        <f t="shared" si="45"/>
        <v>755.00000000001637</v>
      </c>
      <c r="F174" s="45">
        <f t="shared" si="47"/>
        <v>51</v>
      </c>
      <c r="G174" s="79">
        <f>C174+D174+F174+E174</f>
        <v>5031.6000000000167</v>
      </c>
      <c r="H174" s="77">
        <v>4218</v>
      </c>
      <c r="I174" s="77">
        <v>913</v>
      </c>
      <c r="J174" s="80">
        <f t="shared" si="38"/>
        <v>5131</v>
      </c>
      <c r="K174" s="81">
        <f t="shared" si="35"/>
        <v>99.399999999983265</v>
      </c>
      <c r="L174" s="43"/>
      <c r="N174" s="52">
        <v>48217</v>
      </c>
      <c r="O174" s="52">
        <v>45698</v>
      </c>
      <c r="P174" s="52">
        <v>1001.8</v>
      </c>
      <c r="Q174" s="52"/>
      <c r="R174" s="52">
        <v>15654</v>
      </c>
      <c r="S174" s="95">
        <v>1050.5999999999999</v>
      </c>
      <c r="T174" s="95"/>
      <c r="U174" s="95"/>
      <c r="V174" s="52">
        <v>98241</v>
      </c>
      <c r="W174" s="52">
        <v>95633</v>
      </c>
      <c r="X174" s="52">
        <v>57697</v>
      </c>
      <c r="Y174" s="52">
        <v>92778</v>
      </c>
      <c r="Z174" s="52">
        <v>99438</v>
      </c>
    </row>
    <row r="175" spans="1:26" ht="18" hidden="1" customHeight="1" x14ac:dyDescent="0.2">
      <c r="A175" s="46">
        <v>43026</v>
      </c>
      <c r="B175" s="47" t="s">
        <v>98</v>
      </c>
      <c r="C175" s="48">
        <f t="shared" si="46"/>
        <v>2349</v>
      </c>
      <c r="D175" s="99">
        <f t="shared" si="44"/>
        <v>1592</v>
      </c>
      <c r="E175" s="45">
        <f t="shared" si="45"/>
        <v>909.99999999998363</v>
      </c>
      <c r="F175" s="45">
        <f t="shared" si="47"/>
        <v>45</v>
      </c>
      <c r="G175" s="79">
        <f>C175+D175+F175+E175</f>
        <v>4895.9999999999836</v>
      </c>
      <c r="H175" s="77">
        <v>4108</v>
      </c>
      <c r="I175" s="77">
        <v>905</v>
      </c>
      <c r="J175" s="80">
        <f t="shared" si="38"/>
        <v>5013</v>
      </c>
      <c r="K175" s="81">
        <f t="shared" si="35"/>
        <v>117.00000000001637</v>
      </c>
      <c r="L175" s="43"/>
      <c r="N175" s="52">
        <v>48407</v>
      </c>
      <c r="O175" s="52">
        <v>45768</v>
      </c>
      <c r="P175" s="52">
        <v>1018</v>
      </c>
      <c r="Q175" s="52"/>
      <c r="R175" s="52">
        <v>15677</v>
      </c>
      <c r="S175" s="95">
        <v>1056.7</v>
      </c>
      <c r="T175" s="95"/>
      <c r="U175" s="95"/>
      <c r="V175" s="52">
        <v>98485</v>
      </c>
      <c r="W175" s="52">
        <v>95680</v>
      </c>
      <c r="X175" s="52">
        <v>57766</v>
      </c>
      <c r="Y175" s="52">
        <v>92778</v>
      </c>
      <c r="Z175" s="52">
        <v>99489</v>
      </c>
    </row>
    <row r="176" spans="1:26" ht="18" hidden="1" customHeight="1" x14ac:dyDescent="0.2">
      <c r="A176" s="46">
        <v>43027</v>
      </c>
      <c r="B176" s="47" t="s">
        <v>99</v>
      </c>
      <c r="C176" s="48">
        <f t="shared" si="46"/>
        <v>2375</v>
      </c>
      <c r="D176" s="99">
        <f t="shared" si="44"/>
        <v>1624</v>
      </c>
      <c r="E176" s="45">
        <f t="shared" si="45"/>
        <v>902.00000000001637</v>
      </c>
      <c r="F176" s="45">
        <f t="shared" si="47"/>
        <v>35</v>
      </c>
      <c r="G176" s="79">
        <f>C176+D176+F176+E176</f>
        <v>4936.0000000000164</v>
      </c>
      <c r="H176" s="77">
        <v>4189</v>
      </c>
      <c r="I176" s="77">
        <v>928</v>
      </c>
      <c r="J176" s="80">
        <f t="shared" si="38"/>
        <v>5117</v>
      </c>
      <c r="K176" s="81">
        <f t="shared" si="35"/>
        <v>180.99999999998363</v>
      </c>
      <c r="L176" s="43"/>
      <c r="N176" s="52">
        <v>48597</v>
      </c>
      <c r="O176" s="52">
        <v>45841</v>
      </c>
      <c r="P176" s="52">
        <v>1027</v>
      </c>
      <c r="Q176" s="52"/>
      <c r="R176" s="52">
        <v>15699</v>
      </c>
      <c r="S176" s="95">
        <v>1064.0999999999999</v>
      </c>
      <c r="T176" s="95"/>
      <c r="U176" s="95"/>
      <c r="V176" s="52">
        <v>98722</v>
      </c>
      <c r="W176" s="52">
        <v>95722</v>
      </c>
      <c r="X176" s="52">
        <v>57830</v>
      </c>
      <c r="Y176" s="52">
        <v>92778</v>
      </c>
      <c r="Z176" s="52">
        <v>99534</v>
      </c>
    </row>
    <row r="177" spans="1:26" ht="18" hidden="1" customHeight="1" x14ac:dyDescent="0.2">
      <c r="A177" s="46">
        <v>43028</v>
      </c>
      <c r="B177" s="47" t="s">
        <v>100</v>
      </c>
      <c r="C177" s="48">
        <f t="shared" si="46"/>
        <v>0</v>
      </c>
      <c r="D177" s="99">
        <f t="shared" si="44"/>
        <v>0</v>
      </c>
      <c r="E177" s="45">
        <f t="shared" si="45"/>
        <v>0</v>
      </c>
      <c r="F177" s="45">
        <f t="shared" si="47"/>
        <v>0</v>
      </c>
      <c r="G177" s="79">
        <v>0</v>
      </c>
      <c r="H177" s="77">
        <v>4211</v>
      </c>
      <c r="I177" s="77">
        <v>928</v>
      </c>
      <c r="J177" s="80">
        <f t="shared" si="38"/>
        <v>5139</v>
      </c>
      <c r="K177" s="81">
        <v>0</v>
      </c>
      <c r="L177" s="43"/>
      <c r="N177" s="52">
        <v>48787</v>
      </c>
      <c r="O177" s="52">
        <v>45913</v>
      </c>
      <c r="P177" s="52">
        <v>1040</v>
      </c>
      <c r="Q177" s="52"/>
      <c r="R177" s="52">
        <v>15749</v>
      </c>
      <c r="S177" s="95">
        <v>1071.2</v>
      </c>
      <c r="T177" s="95"/>
      <c r="U177" s="95"/>
      <c r="V177" s="52">
        <v>98905</v>
      </c>
      <c r="W177" s="52">
        <v>95765</v>
      </c>
      <c r="X177" s="52">
        <v>57898</v>
      </c>
      <c r="Y177" s="52">
        <v>92778</v>
      </c>
      <c r="Z177" s="52">
        <v>99569</v>
      </c>
    </row>
    <row r="178" spans="1:26" ht="18" hidden="1" customHeight="1" x14ac:dyDescent="0.2">
      <c r="A178" s="111">
        <v>43029</v>
      </c>
      <c r="B178" s="56" t="s">
        <v>103</v>
      </c>
      <c r="C178" s="48">
        <f t="shared" si="46"/>
        <v>0</v>
      </c>
      <c r="D178" s="99">
        <f t="shared" si="44"/>
        <v>0</v>
      </c>
      <c r="E178" s="45">
        <f t="shared" si="45"/>
        <v>0</v>
      </c>
      <c r="F178" s="45">
        <f t="shared" si="47"/>
        <v>0</v>
      </c>
      <c r="G178" s="79">
        <v>0</v>
      </c>
      <c r="H178" s="77">
        <v>0</v>
      </c>
      <c r="I178" s="77">
        <v>3307</v>
      </c>
      <c r="J178" s="80">
        <f t="shared" si="38"/>
        <v>3307</v>
      </c>
      <c r="K178" s="81">
        <v>0</v>
      </c>
      <c r="L178" s="43"/>
      <c r="N178" s="55">
        <v>48787</v>
      </c>
      <c r="O178" s="55">
        <v>45913</v>
      </c>
      <c r="P178" s="55">
        <v>1040</v>
      </c>
      <c r="Q178" s="55"/>
      <c r="R178" s="55">
        <v>15749</v>
      </c>
      <c r="S178" s="96">
        <v>1071.2</v>
      </c>
      <c r="T178" s="96"/>
      <c r="U178" s="96"/>
      <c r="V178" s="55">
        <v>98905</v>
      </c>
      <c r="W178" s="55">
        <v>95765</v>
      </c>
      <c r="X178" s="55">
        <v>57898</v>
      </c>
      <c r="Y178" s="55">
        <v>92778</v>
      </c>
      <c r="Z178" s="55">
        <v>99569</v>
      </c>
    </row>
    <row r="179" spans="1:26" ht="18" hidden="1" customHeight="1" x14ac:dyDescent="0.2">
      <c r="A179" s="111">
        <v>43030</v>
      </c>
      <c r="B179" s="56" t="s">
        <v>104</v>
      </c>
      <c r="C179" s="48">
        <f t="shared" si="46"/>
        <v>3422</v>
      </c>
      <c r="D179" s="99">
        <f t="shared" si="44"/>
        <v>4872</v>
      </c>
      <c r="E179" s="45">
        <f t="shared" si="45"/>
        <v>2904</v>
      </c>
      <c r="F179" s="45">
        <f t="shared" si="47"/>
        <v>133</v>
      </c>
      <c r="G179" s="79">
        <f>C179+D179+F179+E179</f>
        <v>11331</v>
      </c>
      <c r="H179" s="77">
        <v>0</v>
      </c>
      <c r="I179" s="77">
        <v>3282</v>
      </c>
      <c r="J179" s="80">
        <f t="shared" si="38"/>
        <v>3282</v>
      </c>
      <c r="K179" s="81">
        <f>J179-G179+J178+J177</f>
        <v>397</v>
      </c>
      <c r="L179" s="43"/>
      <c r="N179" s="55">
        <v>48787</v>
      </c>
      <c r="O179" s="55">
        <v>45913</v>
      </c>
      <c r="P179" s="55">
        <v>1040</v>
      </c>
      <c r="Q179" s="55"/>
      <c r="R179" s="55">
        <v>15749</v>
      </c>
      <c r="S179" s="96">
        <v>1071.2</v>
      </c>
      <c r="T179" s="96"/>
      <c r="U179" s="96"/>
      <c r="V179" s="55">
        <v>98905</v>
      </c>
      <c r="W179" s="55">
        <v>95765</v>
      </c>
      <c r="X179" s="55">
        <v>57898</v>
      </c>
      <c r="Y179" s="55">
        <v>92778</v>
      </c>
      <c r="Z179" s="55">
        <v>99569</v>
      </c>
    </row>
    <row r="180" spans="1:26" ht="18" hidden="1" customHeight="1" x14ac:dyDescent="0.2">
      <c r="A180" s="46">
        <v>43031</v>
      </c>
      <c r="B180" s="47" t="s">
        <v>96</v>
      </c>
      <c r="C180" s="48">
        <f t="shared" si="46"/>
        <v>2487</v>
      </c>
      <c r="D180" s="99">
        <f t="shared" si="44"/>
        <v>1592</v>
      </c>
      <c r="E180" s="45">
        <f t="shared" si="45"/>
        <v>1034.9999999999836</v>
      </c>
      <c r="F180" s="45">
        <f t="shared" si="47"/>
        <v>48</v>
      </c>
      <c r="G180" s="79">
        <f>C180+D180+F180+E180</f>
        <v>5161.9999999999836</v>
      </c>
      <c r="H180" s="77">
        <v>4417</v>
      </c>
      <c r="I180" s="77">
        <v>893</v>
      </c>
      <c r="J180" s="80">
        <f t="shared" si="38"/>
        <v>5310</v>
      </c>
      <c r="K180" s="81">
        <f t="shared" si="35"/>
        <v>148.00000000001637</v>
      </c>
      <c r="L180" s="43"/>
      <c r="N180" s="52">
        <v>49367</v>
      </c>
      <c r="O180" s="52">
        <v>46131</v>
      </c>
      <c r="P180" s="52">
        <v>1069</v>
      </c>
      <c r="Q180" s="52"/>
      <c r="R180" s="52">
        <v>15833</v>
      </c>
      <c r="S180" s="95">
        <v>1094.7</v>
      </c>
      <c r="T180" s="95"/>
      <c r="U180" s="95"/>
      <c r="V180" s="52">
        <v>99431</v>
      </c>
      <c r="W180" s="52">
        <v>95827</v>
      </c>
      <c r="X180" s="52">
        <v>57974</v>
      </c>
      <c r="Y180" s="52">
        <v>92778</v>
      </c>
      <c r="Z180" s="52">
        <v>99702</v>
      </c>
    </row>
    <row r="181" spans="1:26" ht="18" hidden="1" customHeight="1" x14ac:dyDescent="0.2">
      <c r="A181" s="46">
        <v>43032</v>
      </c>
      <c r="B181" s="47" t="s">
        <v>97</v>
      </c>
      <c r="C181" s="48">
        <f t="shared" si="46"/>
        <v>2483</v>
      </c>
      <c r="D181" s="99">
        <f t="shared" si="44"/>
        <v>1608</v>
      </c>
      <c r="E181" s="45">
        <f t="shared" si="45"/>
        <v>925</v>
      </c>
      <c r="F181" s="45">
        <f t="shared" si="47"/>
        <v>46</v>
      </c>
      <c r="G181" s="79">
        <f>C181+D181+F181+E181</f>
        <v>5062</v>
      </c>
      <c r="H181" s="77">
        <v>4321</v>
      </c>
      <c r="I181" s="77">
        <v>937</v>
      </c>
      <c r="J181" s="80">
        <f t="shared" si="38"/>
        <v>5258</v>
      </c>
      <c r="K181" s="81">
        <f t="shared" si="35"/>
        <v>196</v>
      </c>
      <c r="L181" s="43"/>
      <c r="N181" s="52">
        <v>49557</v>
      </c>
      <c r="O181" s="52">
        <v>46206</v>
      </c>
      <c r="P181" s="52">
        <v>1078</v>
      </c>
      <c r="Q181" s="52"/>
      <c r="R181" s="52">
        <v>15860</v>
      </c>
      <c r="S181" s="95">
        <v>1103.0999999999999</v>
      </c>
      <c r="T181" s="95"/>
      <c r="U181" s="95"/>
      <c r="V181" s="52">
        <v>99626</v>
      </c>
      <c r="W181" s="52">
        <v>95869</v>
      </c>
      <c r="X181" s="52">
        <v>58053</v>
      </c>
      <c r="Y181" s="52">
        <v>92778</v>
      </c>
      <c r="Z181" s="52">
        <v>99750</v>
      </c>
    </row>
    <row r="182" spans="1:26" ht="18" hidden="1" customHeight="1" x14ac:dyDescent="0.2">
      <c r="A182" s="46">
        <v>43033</v>
      </c>
      <c r="B182" s="47" t="s">
        <v>98</v>
      </c>
      <c r="C182" s="48">
        <f t="shared" si="46"/>
        <v>2384</v>
      </c>
      <c r="D182" s="99">
        <f t="shared" si="44"/>
        <v>1784</v>
      </c>
      <c r="E182" s="45">
        <f t="shared" si="45"/>
        <v>889.00000000000546</v>
      </c>
      <c r="F182" s="45">
        <f t="shared" si="47"/>
        <v>49</v>
      </c>
      <c r="G182" s="79">
        <f>C182+D182+F182+E182</f>
        <v>5106.0000000000055</v>
      </c>
      <c r="H182" s="77">
        <v>4161</v>
      </c>
      <c r="I182" s="77">
        <v>917</v>
      </c>
      <c r="J182" s="80">
        <f t="shared" si="38"/>
        <v>5078</v>
      </c>
      <c r="K182" s="81">
        <f t="shared" si="35"/>
        <v>-28.000000000005457</v>
      </c>
      <c r="L182" s="43"/>
      <c r="N182" s="52">
        <v>49747</v>
      </c>
      <c r="O182" s="52">
        <v>42676</v>
      </c>
      <c r="P182" s="52">
        <v>1089</v>
      </c>
      <c r="Q182" s="52"/>
      <c r="R182" s="52">
        <v>15885</v>
      </c>
      <c r="S182" s="95">
        <v>1110.5999999999999</v>
      </c>
      <c r="T182" s="95"/>
      <c r="U182" s="95"/>
      <c r="V182" s="52">
        <v>99821</v>
      </c>
      <c r="W182" s="52">
        <v>95909</v>
      </c>
      <c r="X182" s="52">
        <v>58137</v>
      </c>
      <c r="Y182" s="52">
        <v>92778</v>
      </c>
      <c r="Z182" s="52">
        <v>99796</v>
      </c>
    </row>
    <row r="183" spans="1:26" ht="18" hidden="1" customHeight="1" x14ac:dyDescent="0.2">
      <c r="A183" s="46">
        <v>43034</v>
      </c>
      <c r="B183" s="47" t="s">
        <v>99</v>
      </c>
      <c r="C183" s="48">
        <f t="shared" si="46"/>
        <v>2907</v>
      </c>
      <c r="D183" s="99">
        <f t="shared" si="44"/>
        <v>1536</v>
      </c>
      <c r="E183" s="45">
        <f t="shared" si="45"/>
        <v>878.00000000001637</v>
      </c>
      <c r="F183" s="45">
        <f t="shared" si="47"/>
        <v>51</v>
      </c>
      <c r="G183" s="79">
        <f>C183+D183+F183+E183</f>
        <v>5372.0000000000164</v>
      </c>
      <c r="H183" s="77">
        <v>4303</v>
      </c>
      <c r="I183" s="77">
        <v>993</v>
      </c>
      <c r="J183" s="80">
        <f t="shared" si="38"/>
        <v>5296</v>
      </c>
      <c r="K183" s="81">
        <f t="shared" si="35"/>
        <v>-76.000000000016371</v>
      </c>
      <c r="L183" s="43"/>
      <c r="N183" s="52">
        <v>49957</v>
      </c>
      <c r="O183" s="52">
        <v>46353</v>
      </c>
      <c r="P183" s="52">
        <v>1102</v>
      </c>
      <c r="Q183" s="52"/>
      <c r="R183" s="52">
        <v>15910</v>
      </c>
      <c r="S183" s="95">
        <v>1117.8</v>
      </c>
      <c r="T183" s="95"/>
      <c r="U183" s="95"/>
      <c r="V183" s="52">
        <v>100037</v>
      </c>
      <c r="W183" s="52">
        <v>95949</v>
      </c>
      <c r="X183" s="52">
        <v>58211</v>
      </c>
      <c r="Y183" s="52">
        <v>92778</v>
      </c>
      <c r="Z183" s="52">
        <v>99845</v>
      </c>
    </row>
    <row r="184" spans="1:26" ht="18" hidden="1" customHeight="1" x14ac:dyDescent="0.2">
      <c r="A184" s="46">
        <v>43035</v>
      </c>
      <c r="B184" s="47" t="s">
        <v>100</v>
      </c>
      <c r="C184" s="48">
        <f t="shared" si="46"/>
        <v>0</v>
      </c>
      <c r="D184" s="99">
        <f t="shared" si="44"/>
        <v>0</v>
      </c>
      <c r="E184" s="45">
        <f t="shared" si="45"/>
        <v>0</v>
      </c>
      <c r="F184" s="45">
        <f t="shared" si="47"/>
        <v>0</v>
      </c>
      <c r="G184" s="79">
        <v>0</v>
      </c>
      <c r="H184" s="77">
        <v>3695</v>
      </c>
      <c r="I184" s="77">
        <v>1180</v>
      </c>
      <c r="J184" s="80">
        <f t="shared" si="38"/>
        <v>4875</v>
      </c>
      <c r="K184" s="81">
        <v>0</v>
      </c>
      <c r="L184" s="43"/>
      <c r="N184" s="52">
        <v>50137</v>
      </c>
      <c r="O184" s="52">
        <v>46426</v>
      </c>
      <c r="P184" s="52">
        <v>1114</v>
      </c>
      <c r="Q184" s="52"/>
      <c r="R184" s="52">
        <v>15936</v>
      </c>
      <c r="S184" s="95">
        <v>1124.9000000000001</v>
      </c>
      <c r="T184" s="95"/>
      <c r="U184" s="95"/>
      <c r="V184" s="52">
        <v>100248</v>
      </c>
      <c r="W184" s="52">
        <v>96004</v>
      </c>
      <c r="X184" s="52">
        <v>58289</v>
      </c>
      <c r="Y184" s="52">
        <v>92778</v>
      </c>
      <c r="Z184" s="52">
        <v>99896</v>
      </c>
    </row>
    <row r="185" spans="1:26" ht="18" hidden="1" customHeight="1" x14ac:dyDescent="0.2">
      <c r="A185" s="111">
        <v>43036</v>
      </c>
      <c r="B185" s="56" t="s">
        <v>103</v>
      </c>
      <c r="C185" s="48">
        <f t="shared" si="46"/>
        <v>0</v>
      </c>
      <c r="D185" s="99">
        <f t="shared" si="44"/>
        <v>0</v>
      </c>
      <c r="E185" s="45">
        <f t="shared" si="45"/>
        <v>0</v>
      </c>
      <c r="F185" s="45">
        <f t="shared" si="47"/>
        <v>0</v>
      </c>
      <c r="G185" s="79">
        <v>0</v>
      </c>
      <c r="H185" s="77">
        <v>0</v>
      </c>
      <c r="I185" s="77">
        <v>2683</v>
      </c>
      <c r="J185" s="80">
        <f t="shared" si="38"/>
        <v>2683</v>
      </c>
      <c r="K185" s="81">
        <v>0</v>
      </c>
      <c r="L185" s="43"/>
      <c r="N185" s="55">
        <v>50137</v>
      </c>
      <c r="O185" s="55">
        <v>46426</v>
      </c>
      <c r="P185" s="55">
        <v>1114</v>
      </c>
      <c r="Q185" s="55"/>
      <c r="R185" s="55">
        <v>15936</v>
      </c>
      <c r="S185" s="96">
        <v>1124.9000000000001</v>
      </c>
      <c r="T185" s="96"/>
      <c r="U185" s="96"/>
      <c r="V185" s="55">
        <v>100248</v>
      </c>
      <c r="W185" s="55">
        <v>96004</v>
      </c>
      <c r="X185" s="55">
        <v>58289</v>
      </c>
      <c r="Y185" s="55">
        <v>92778</v>
      </c>
      <c r="Z185" s="55">
        <v>99896</v>
      </c>
    </row>
    <row r="186" spans="1:26" ht="18" hidden="1" customHeight="1" x14ac:dyDescent="0.2">
      <c r="A186" s="111">
        <v>43037</v>
      </c>
      <c r="B186" s="56" t="s">
        <v>104</v>
      </c>
      <c r="C186" s="48">
        <f t="shared" si="46"/>
        <v>2881</v>
      </c>
      <c r="D186" s="99">
        <f t="shared" si="44"/>
        <v>3816</v>
      </c>
      <c r="E186" s="45">
        <f t="shared" si="45"/>
        <v>2968</v>
      </c>
      <c r="F186" s="45">
        <f t="shared" si="47"/>
        <v>143</v>
      </c>
      <c r="G186" s="79">
        <f>C186+D186+F186+E186</f>
        <v>9808</v>
      </c>
      <c r="H186" s="77">
        <v>0</v>
      </c>
      <c r="I186" s="77">
        <v>2923</v>
      </c>
      <c r="J186" s="80">
        <f t="shared" si="38"/>
        <v>2923</v>
      </c>
      <c r="K186" s="81">
        <f>J186-G186+J185+J184</f>
        <v>673</v>
      </c>
      <c r="L186" s="43"/>
      <c r="N186" s="55">
        <v>50137</v>
      </c>
      <c r="O186" s="55">
        <v>46426</v>
      </c>
      <c r="P186" s="55">
        <v>1114</v>
      </c>
      <c r="Q186" s="55"/>
      <c r="R186" s="55">
        <v>15936</v>
      </c>
      <c r="S186" s="96">
        <v>1124.9000000000001</v>
      </c>
      <c r="T186" s="96"/>
      <c r="U186" s="96"/>
      <c r="V186" s="55">
        <v>100248</v>
      </c>
      <c r="W186" s="55">
        <v>96004</v>
      </c>
      <c r="X186" s="55">
        <v>58289</v>
      </c>
      <c r="Y186" s="55">
        <v>92778</v>
      </c>
      <c r="Z186" s="55">
        <v>99896</v>
      </c>
    </row>
    <row r="187" spans="1:26" ht="18" hidden="1" customHeight="1" x14ac:dyDescent="0.2">
      <c r="A187" s="46">
        <v>43038</v>
      </c>
      <c r="B187" s="47" t="s">
        <v>96</v>
      </c>
      <c r="C187" s="48">
        <f t="shared" si="46"/>
        <v>1931</v>
      </c>
      <c r="D187" s="99">
        <f t="shared" si="44"/>
        <v>1840</v>
      </c>
      <c r="E187" s="45">
        <f t="shared" si="45"/>
        <v>1191.9999999999782</v>
      </c>
      <c r="F187" s="45">
        <f t="shared" si="47"/>
        <v>53</v>
      </c>
      <c r="G187" s="79">
        <f>C187+D187+F187+E187</f>
        <v>5015.9999999999782</v>
      </c>
      <c r="H187" s="77">
        <v>4028</v>
      </c>
      <c r="I187" s="77">
        <v>944</v>
      </c>
      <c r="J187" s="80">
        <f t="shared" si="38"/>
        <v>4972</v>
      </c>
      <c r="K187" s="81">
        <f t="shared" si="35"/>
        <v>-43.999999999978172</v>
      </c>
      <c r="L187" s="43"/>
      <c r="N187" s="52">
        <v>50587</v>
      </c>
      <c r="O187" s="52">
        <v>46597</v>
      </c>
      <c r="P187" s="52">
        <v>1141</v>
      </c>
      <c r="Q187" s="52"/>
      <c r="R187" s="52">
        <v>16024</v>
      </c>
      <c r="S187" s="95">
        <v>1148.9000000000001</v>
      </c>
      <c r="T187" s="95"/>
      <c r="U187" s="95"/>
      <c r="V187" s="52">
        <v>100741</v>
      </c>
      <c r="W187" s="52">
        <v>96058</v>
      </c>
      <c r="X187" s="52">
        <v>58344</v>
      </c>
      <c r="Y187" s="52">
        <v>92778</v>
      </c>
      <c r="Z187" s="52">
        <v>100039</v>
      </c>
    </row>
    <row r="188" spans="1:26" ht="18" hidden="1" customHeight="1" x14ac:dyDescent="0.2">
      <c r="A188" s="46">
        <v>43039</v>
      </c>
      <c r="B188" s="47" t="s">
        <v>97</v>
      </c>
      <c r="C188" s="48">
        <f t="shared" si="46"/>
        <v>1866</v>
      </c>
      <c r="D188" s="99">
        <f t="shared" si="44"/>
        <v>1784</v>
      </c>
      <c r="E188" s="45">
        <f t="shared" si="45"/>
        <v>940.00000000001637</v>
      </c>
      <c r="F188" s="45">
        <f t="shared" si="47"/>
        <v>57</v>
      </c>
      <c r="G188" s="79">
        <f>C188+D188+F188+E188</f>
        <v>4647.0000000000164</v>
      </c>
      <c r="H188" s="77">
        <v>3827</v>
      </c>
      <c r="I188" s="77">
        <v>1049</v>
      </c>
      <c r="J188" s="80">
        <f t="shared" si="38"/>
        <v>4876</v>
      </c>
      <c r="K188" s="81">
        <f t="shared" si="35"/>
        <v>228.99999999998363</v>
      </c>
      <c r="L188" s="43"/>
      <c r="N188" s="52">
        <v>50807</v>
      </c>
      <c r="O188" s="52">
        <v>46679</v>
      </c>
      <c r="P188" s="52">
        <v>1151</v>
      </c>
      <c r="Q188" s="52"/>
      <c r="R188" s="52">
        <v>16052</v>
      </c>
      <c r="S188" s="95">
        <v>1158.5999999999999</v>
      </c>
      <c r="T188" s="95"/>
      <c r="U188" s="95"/>
      <c r="V188" s="52">
        <v>100932</v>
      </c>
      <c r="W188" s="52">
        <v>96088</v>
      </c>
      <c r="X188" s="52">
        <v>58409</v>
      </c>
      <c r="Y188" s="52">
        <v>92778</v>
      </c>
      <c r="Z188" s="52">
        <v>100092</v>
      </c>
    </row>
    <row r="189" spans="1:26" ht="18" hidden="1" customHeight="1" x14ac:dyDescent="0.2">
      <c r="A189" s="46">
        <v>43040</v>
      </c>
      <c r="B189" s="47" t="s">
        <v>98</v>
      </c>
      <c r="C189" s="119">
        <f>(V190-V189)*1+(W190-W189)*32+(X190-X189)*12+(Y190-Y189)*6</f>
        <v>1913</v>
      </c>
      <c r="D189" s="99">
        <f t="shared" si="44"/>
        <v>1840</v>
      </c>
      <c r="E189" s="45">
        <f t="shared" si="45"/>
        <v>886.00000000000546</v>
      </c>
      <c r="F189" s="45">
        <f>(Z190-Z189)*1</f>
        <v>48</v>
      </c>
      <c r="G189" s="79">
        <f>C189+D189+F189+E189</f>
        <v>4687.0000000000055</v>
      </c>
      <c r="H189" s="77">
        <v>3779</v>
      </c>
      <c r="I189" s="77">
        <v>1032</v>
      </c>
      <c r="J189" s="80">
        <f t="shared" si="38"/>
        <v>4811</v>
      </c>
      <c r="K189" s="81">
        <f t="shared" si="35"/>
        <v>123.99999999999454</v>
      </c>
      <c r="L189" s="43"/>
      <c r="N189" s="114">
        <v>51017</v>
      </c>
      <c r="O189" s="114">
        <v>46762</v>
      </c>
      <c r="P189" s="114">
        <v>1164</v>
      </c>
      <c r="Q189" s="114"/>
      <c r="R189" s="114">
        <v>16080</v>
      </c>
      <c r="S189" s="115">
        <v>1166.2</v>
      </c>
      <c r="T189" s="115"/>
      <c r="U189" s="115"/>
      <c r="V189" s="114">
        <v>101118</v>
      </c>
      <c r="W189" s="114">
        <v>96118</v>
      </c>
      <c r="X189" s="114">
        <v>58469</v>
      </c>
      <c r="Y189" s="114">
        <v>92778</v>
      </c>
      <c r="Z189" s="114">
        <v>100149</v>
      </c>
    </row>
    <row r="190" spans="1:26" ht="18" hidden="1" customHeight="1" x14ac:dyDescent="0.2">
      <c r="A190" s="46">
        <v>43041</v>
      </c>
      <c r="B190" s="47" t="s">
        <v>99</v>
      </c>
      <c r="C190" s="119">
        <f>(V191-V190)*1+(W191-W190)*32+(X191-X190)*12+(Y191-Y190)*6</f>
        <v>2140</v>
      </c>
      <c r="D190" s="99">
        <f t="shared" si="44"/>
        <v>1864</v>
      </c>
      <c r="E190" s="45">
        <f t="shared" si="45"/>
        <v>721.99999999999454</v>
      </c>
      <c r="F190" s="45">
        <f>(Z191-Z190)*1</f>
        <v>46</v>
      </c>
      <c r="G190" s="79">
        <f>C190+D190+F190+E190</f>
        <v>4771.9999999999945</v>
      </c>
      <c r="H190" s="77">
        <v>3904</v>
      </c>
      <c r="I190" s="77">
        <v>996</v>
      </c>
      <c r="J190" s="80">
        <f t="shared" si="38"/>
        <v>4900</v>
      </c>
      <c r="K190" s="81">
        <f t="shared" si="35"/>
        <v>128.00000000000546</v>
      </c>
      <c r="L190" s="43"/>
      <c r="N190" s="114">
        <v>51237</v>
      </c>
      <c r="O190" s="114">
        <v>46842</v>
      </c>
      <c r="P190" s="114">
        <v>1174</v>
      </c>
      <c r="Q190" s="114"/>
      <c r="R190" s="114">
        <v>16102</v>
      </c>
      <c r="S190" s="115">
        <v>1173.4000000000001</v>
      </c>
      <c r="T190" s="115"/>
      <c r="U190" s="115"/>
      <c r="V190" s="114">
        <v>101335</v>
      </c>
      <c r="W190" s="114">
        <v>96150</v>
      </c>
      <c r="X190" s="114">
        <v>58525</v>
      </c>
      <c r="Y190" s="114">
        <v>92778</v>
      </c>
      <c r="Z190" s="114">
        <v>100197</v>
      </c>
    </row>
    <row r="191" spans="1:26" ht="18" hidden="1" customHeight="1" x14ac:dyDescent="0.2">
      <c r="A191" s="46">
        <v>43042</v>
      </c>
      <c r="B191" s="47" t="s">
        <v>100</v>
      </c>
      <c r="C191" s="119">
        <v>0</v>
      </c>
      <c r="D191" s="99">
        <v>0</v>
      </c>
      <c r="E191" s="45">
        <v>0</v>
      </c>
      <c r="F191" s="45">
        <v>0</v>
      </c>
      <c r="G191" s="79">
        <v>0</v>
      </c>
      <c r="H191" s="77">
        <v>3821</v>
      </c>
      <c r="I191" s="77">
        <v>1001</v>
      </c>
      <c r="J191" s="80">
        <f t="shared" si="38"/>
        <v>4822</v>
      </c>
      <c r="K191" s="81">
        <v>0</v>
      </c>
      <c r="L191" s="43"/>
      <c r="N191" s="114">
        <v>51457</v>
      </c>
      <c r="O191" s="114">
        <v>46926</v>
      </c>
      <c r="P191" s="114">
        <v>1187</v>
      </c>
      <c r="Q191" s="114"/>
      <c r="R191" s="114">
        <v>16128</v>
      </c>
      <c r="S191" s="115">
        <v>1179.2</v>
      </c>
      <c r="T191" s="115"/>
      <c r="U191" s="115"/>
      <c r="V191" s="114">
        <v>101559</v>
      </c>
      <c r="W191" s="114">
        <v>96187</v>
      </c>
      <c r="X191" s="114">
        <v>58586</v>
      </c>
      <c r="Y191" s="114">
        <v>92778</v>
      </c>
      <c r="Z191" s="114">
        <v>100243</v>
      </c>
    </row>
    <row r="192" spans="1:26" ht="18" hidden="1" customHeight="1" x14ac:dyDescent="0.2">
      <c r="A192" s="46">
        <v>43043</v>
      </c>
      <c r="B192" s="56" t="s">
        <v>103</v>
      </c>
      <c r="C192" s="119">
        <v>0</v>
      </c>
      <c r="D192" s="99">
        <v>0</v>
      </c>
      <c r="E192" s="45">
        <v>0</v>
      </c>
      <c r="F192" s="45">
        <v>0</v>
      </c>
      <c r="G192" s="79">
        <v>0</v>
      </c>
      <c r="H192" s="77"/>
      <c r="I192" s="77">
        <v>3389</v>
      </c>
      <c r="J192" s="80">
        <f t="shared" si="38"/>
        <v>3389</v>
      </c>
      <c r="K192" s="81">
        <v>0</v>
      </c>
      <c r="L192" s="43"/>
      <c r="N192" s="116">
        <v>51457</v>
      </c>
      <c r="O192" s="116">
        <v>46926</v>
      </c>
      <c r="P192" s="116">
        <v>1187</v>
      </c>
      <c r="Q192" s="116"/>
      <c r="R192" s="116">
        <v>16128</v>
      </c>
      <c r="S192" s="117">
        <v>1179.2</v>
      </c>
      <c r="T192" s="117"/>
      <c r="U192" s="117"/>
      <c r="V192" s="116">
        <v>101559</v>
      </c>
      <c r="W192" s="116">
        <v>96187</v>
      </c>
      <c r="X192" s="116">
        <v>58586</v>
      </c>
      <c r="Y192" s="116">
        <v>92778</v>
      </c>
      <c r="Z192" s="116">
        <v>100243</v>
      </c>
    </row>
    <row r="193" spans="1:26" ht="18" hidden="1" customHeight="1" x14ac:dyDescent="0.2">
      <c r="A193" s="46">
        <v>43044</v>
      </c>
      <c r="B193" s="56" t="s">
        <v>104</v>
      </c>
      <c r="C193" s="119">
        <f>(V194-V193)*1+(W194-W193)*32+(X194-X193)*12+(Y194-Y193)*6</f>
        <v>2790</v>
      </c>
      <c r="D193" s="99">
        <f>(N194-N193)*8+(P194-P193)*8</f>
        <v>5720</v>
      </c>
      <c r="E193" s="45">
        <f>(R194-R193)*1+(S194-S193)*120</f>
        <v>2725.9999999999891</v>
      </c>
      <c r="F193" s="45">
        <f>(Z194-Z193)*1</f>
        <v>150</v>
      </c>
      <c r="G193" s="79">
        <f>C193+D193+F193+E193</f>
        <v>11385.999999999989</v>
      </c>
      <c r="H193" s="77"/>
      <c r="I193" s="77">
        <v>3647</v>
      </c>
      <c r="J193" s="80">
        <f t="shared" si="38"/>
        <v>3647</v>
      </c>
      <c r="K193" s="81">
        <f>J193+J192+J191-G192-G191-G193</f>
        <v>472.00000000001091</v>
      </c>
      <c r="L193" s="43"/>
      <c r="N193" s="116">
        <v>51457</v>
      </c>
      <c r="O193" s="116">
        <v>46926</v>
      </c>
      <c r="P193" s="116">
        <v>1187</v>
      </c>
      <c r="Q193" s="116"/>
      <c r="R193" s="116">
        <v>16128</v>
      </c>
      <c r="S193" s="117">
        <v>1179.2</v>
      </c>
      <c r="T193" s="117"/>
      <c r="U193" s="117"/>
      <c r="V193" s="116">
        <v>101559</v>
      </c>
      <c r="W193" s="116">
        <v>96187</v>
      </c>
      <c r="X193" s="116">
        <v>58586</v>
      </c>
      <c r="Y193" s="116">
        <v>92778</v>
      </c>
      <c r="Z193" s="116">
        <v>100243</v>
      </c>
    </row>
    <row r="194" spans="1:26" ht="18" hidden="1" customHeight="1" x14ac:dyDescent="0.2">
      <c r="A194" s="46">
        <v>43045</v>
      </c>
      <c r="B194" s="47" t="s">
        <v>96</v>
      </c>
      <c r="C194" s="119">
        <f>(V195-V194)*1+(W195-W194)*32+(X195-X194)*12+(Y195-Y194)*6</f>
        <v>2250</v>
      </c>
      <c r="D194" s="99">
        <f>(N195-N194)*8+(P195-P194)*8</f>
        <v>2024</v>
      </c>
      <c r="E194" s="45">
        <f>(R195-R194)*1+(S195-S194)*120</f>
        <v>973.00000000001091</v>
      </c>
      <c r="F194" s="45">
        <f>(Z195-Z194)*1</f>
        <v>43</v>
      </c>
      <c r="G194" s="79">
        <f>C194+D194+F194+E194</f>
        <v>5290.0000000000109</v>
      </c>
      <c r="H194" s="77">
        <v>4315</v>
      </c>
      <c r="I194" s="77">
        <v>1035</v>
      </c>
      <c r="J194" s="80">
        <f t="shared" si="38"/>
        <v>5350</v>
      </c>
      <c r="K194" s="81">
        <f t="shared" ref="K194:K256" si="49">J194-G194</f>
        <v>59.999999999989086</v>
      </c>
      <c r="L194" s="43"/>
      <c r="N194" s="114">
        <v>52147</v>
      </c>
      <c r="O194" s="114">
        <v>47194</v>
      </c>
      <c r="P194" s="114">
        <v>1212</v>
      </c>
      <c r="Q194" s="114"/>
      <c r="R194" s="114">
        <v>16202</v>
      </c>
      <c r="S194" s="115">
        <v>1201.3</v>
      </c>
      <c r="T194" s="115"/>
      <c r="U194" s="115"/>
      <c r="V194" s="114">
        <v>101989</v>
      </c>
      <c r="W194" s="114">
        <v>96242</v>
      </c>
      <c r="X194" s="114">
        <v>58636</v>
      </c>
      <c r="Y194" s="114">
        <v>92778</v>
      </c>
      <c r="Z194" s="114">
        <v>100393</v>
      </c>
    </row>
    <row r="195" spans="1:26" ht="18" hidden="1" customHeight="1" x14ac:dyDescent="0.2">
      <c r="A195" s="46">
        <v>43046</v>
      </c>
      <c r="B195" s="47" t="s">
        <v>97</v>
      </c>
      <c r="C195" s="119">
        <f>(V196-V195)*1+(W196-W195)*32+(X196-X195)*12+(Y196-Y195)*6</f>
        <v>2612</v>
      </c>
      <c r="D195" s="99">
        <f>(N196-N195)*8+(P196-P195)*8</f>
        <v>1992</v>
      </c>
      <c r="E195" s="45">
        <f>(R196-R195)*1+(S196-S195)*120</f>
        <v>852.99999999998363</v>
      </c>
      <c r="F195" s="45">
        <f>(Z196-Z195)*1</f>
        <v>48</v>
      </c>
      <c r="G195" s="79">
        <f>C195+D195+F195+E195</f>
        <v>5504.9999999999836</v>
      </c>
      <c r="H195" s="77">
        <v>4589</v>
      </c>
      <c r="I195" s="77">
        <v>1061</v>
      </c>
      <c r="J195" s="80">
        <f t="shared" si="38"/>
        <v>5650</v>
      </c>
      <c r="K195" s="81">
        <f t="shared" si="49"/>
        <v>145.00000000001637</v>
      </c>
      <c r="L195" s="43"/>
      <c r="N195" s="114">
        <v>52387</v>
      </c>
      <c r="O195" s="114">
        <v>47284</v>
      </c>
      <c r="P195" s="114">
        <v>1225</v>
      </c>
      <c r="Q195" s="114"/>
      <c r="R195" s="114">
        <v>16227</v>
      </c>
      <c r="S195" s="115">
        <v>1209.2</v>
      </c>
      <c r="T195" s="115"/>
      <c r="U195" s="115"/>
      <c r="V195" s="114">
        <v>102203</v>
      </c>
      <c r="W195" s="114">
        <v>96279</v>
      </c>
      <c r="X195" s="114">
        <v>58707</v>
      </c>
      <c r="Y195" s="114">
        <v>92778</v>
      </c>
      <c r="Z195" s="114">
        <v>100436</v>
      </c>
    </row>
    <row r="196" spans="1:26" ht="18" hidden="1" customHeight="1" x14ac:dyDescent="0.2">
      <c r="A196" s="46">
        <v>43047</v>
      </c>
      <c r="B196" s="47" t="s">
        <v>98</v>
      </c>
      <c r="C196" s="119">
        <f>(V197-V196)*1+(W197-W196)*32+(X197-X196)*12+(Y197-Y196)*6</f>
        <v>1593</v>
      </c>
      <c r="D196" s="99">
        <f>(N197-N196)*8+(P197-P196)*8</f>
        <v>2096</v>
      </c>
      <c r="E196" s="45">
        <f>(R197-R196)*1+(S197-S196)*120</f>
        <v>949.00000000000546</v>
      </c>
      <c r="F196" s="45">
        <f>(Z197-Z196)*1</f>
        <v>55</v>
      </c>
      <c r="G196" s="79">
        <f>C196+D196+F196+E196</f>
        <v>4693.0000000000055</v>
      </c>
      <c r="H196" s="77">
        <v>3768</v>
      </c>
      <c r="I196" s="77">
        <v>1076</v>
      </c>
      <c r="J196" s="80">
        <f t="shared" si="38"/>
        <v>4844</v>
      </c>
      <c r="K196" s="81">
        <f t="shared" si="49"/>
        <v>150.99999999999454</v>
      </c>
      <c r="L196" s="43"/>
      <c r="N196" s="114">
        <v>52627</v>
      </c>
      <c r="O196" s="114">
        <v>47377</v>
      </c>
      <c r="P196" s="114">
        <v>1234</v>
      </c>
      <c r="Q196" s="114"/>
      <c r="R196" s="114">
        <v>16252</v>
      </c>
      <c r="S196" s="115">
        <v>1216.0999999999999</v>
      </c>
      <c r="T196" s="115"/>
      <c r="U196" s="115"/>
      <c r="V196" s="114">
        <v>102455</v>
      </c>
      <c r="W196" s="114">
        <v>96325</v>
      </c>
      <c r="X196" s="114">
        <v>58781</v>
      </c>
      <c r="Y196" s="114">
        <v>92778</v>
      </c>
      <c r="Z196" s="114">
        <v>100484</v>
      </c>
    </row>
    <row r="197" spans="1:26" ht="18" hidden="1" customHeight="1" x14ac:dyDescent="0.2">
      <c r="A197" s="46">
        <v>43048</v>
      </c>
      <c r="B197" s="47" t="s">
        <v>99</v>
      </c>
      <c r="C197" s="119">
        <f>(V198-V197)*1+(W198-W197)*32+(X198-X197)*12+(Y198-Y197)*6</f>
        <v>2104</v>
      </c>
      <c r="D197" s="99">
        <f>(N198-N197)*8+(P198-P197)*8</f>
        <v>2168</v>
      </c>
      <c r="E197" s="45">
        <f>(R198-R197)*1+(S198-S197)*120</f>
        <v>864</v>
      </c>
      <c r="F197" s="45">
        <f>(Z198-Z197)*1</f>
        <v>48</v>
      </c>
      <c r="G197" s="79">
        <f>C197+D197+F197+E197</f>
        <v>5184</v>
      </c>
      <c r="H197" s="77">
        <v>4063</v>
      </c>
      <c r="I197" s="77">
        <v>1147</v>
      </c>
      <c r="J197" s="80">
        <f t="shared" si="38"/>
        <v>5210</v>
      </c>
      <c r="K197" s="81">
        <f t="shared" si="49"/>
        <v>26</v>
      </c>
      <c r="L197" s="43"/>
      <c r="N197" s="114">
        <v>52877</v>
      </c>
      <c r="O197" s="114">
        <v>47472</v>
      </c>
      <c r="P197" s="114">
        <v>1246</v>
      </c>
      <c r="Q197" s="114"/>
      <c r="R197" s="114">
        <v>16277</v>
      </c>
      <c r="S197" s="115">
        <v>1223.8</v>
      </c>
      <c r="T197" s="115"/>
      <c r="U197" s="115"/>
      <c r="V197" s="114">
        <v>102564</v>
      </c>
      <c r="W197" s="114">
        <v>96356</v>
      </c>
      <c r="X197" s="114">
        <v>58822</v>
      </c>
      <c r="Y197" s="114">
        <v>92778</v>
      </c>
      <c r="Z197" s="114">
        <v>100539</v>
      </c>
    </row>
    <row r="198" spans="1:26" ht="18" hidden="1" customHeight="1" x14ac:dyDescent="0.2">
      <c r="A198" s="46">
        <v>43049</v>
      </c>
      <c r="B198" s="47" t="s">
        <v>100</v>
      </c>
      <c r="C198" s="119">
        <v>0</v>
      </c>
      <c r="D198" s="99">
        <v>0</v>
      </c>
      <c r="E198" s="45">
        <v>0</v>
      </c>
      <c r="F198" s="45">
        <v>0</v>
      </c>
      <c r="G198" s="79">
        <v>0</v>
      </c>
      <c r="H198" s="77">
        <v>4275</v>
      </c>
      <c r="I198" s="77">
        <v>1144</v>
      </c>
      <c r="J198" s="80">
        <f t="shared" ref="J198:J205" si="50">H198+I198</f>
        <v>5419</v>
      </c>
      <c r="K198" s="81">
        <v>0</v>
      </c>
      <c r="L198" s="43"/>
      <c r="N198" s="114">
        <v>53137</v>
      </c>
      <c r="O198" s="114">
        <v>47570</v>
      </c>
      <c r="P198" s="114">
        <v>1257</v>
      </c>
      <c r="Q198" s="114"/>
      <c r="R198" s="114">
        <v>16301</v>
      </c>
      <c r="S198" s="115">
        <v>1230.8</v>
      </c>
      <c r="T198" s="115"/>
      <c r="U198" s="115"/>
      <c r="V198" s="114">
        <v>102860</v>
      </c>
      <c r="W198" s="114">
        <v>96390</v>
      </c>
      <c r="X198" s="114">
        <v>58882</v>
      </c>
      <c r="Y198" s="114">
        <v>92778</v>
      </c>
      <c r="Z198" s="114">
        <v>100587</v>
      </c>
    </row>
    <row r="199" spans="1:26" ht="18" hidden="1" customHeight="1" x14ac:dyDescent="0.2">
      <c r="A199" s="46">
        <v>43050</v>
      </c>
      <c r="B199" s="47" t="s">
        <v>101</v>
      </c>
      <c r="C199" s="119">
        <v>0</v>
      </c>
      <c r="D199" s="99">
        <v>0</v>
      </c>
      <c r="E199" s="45">
        <v>0</v>
      </c>
      <c r="F199" s="45">
        <v>0</v>
      </c>
      <c r="G199" s="79">
        <v>0</v>
      </c>
      <c r="H199" s="77">
        <v>0</v>
      </c>
      <c r="I199" s="77">
        <v>3357</v>
      </c>
      <c r="J199" s="80">
        <f t="shared" si="50"/>
        <v>3357</v>
      </c>
      <c r="K199" s="81">
        <v>0</v>
      </c>
      <c r="L199" s="43"/>
      <c r="N199" s="116">
        <v>53137</v>
      </c>
      <c r="O199" s="116">
        <v>47570</v>
      </c>
      <c r="P199" s="116">
        <v>1257</v>
      </c>
      <c r="Q199" s="116"/>
      <c r="R199" s="116">
        <v>16301</v>
      </c>
      <c r="S199" s="117">
        <v>1230.8</v>
      </c>
      <c r="T199" s="117"/>
      <c r="U199" s="117"/>
      <c r="V199" s="116">
        <v>102860</v>
      </c>
      <c r="W199" s="116">
        <v>96390</v>
      </c>
      <c r="X199" s="116">
        <v>58882</v>
      </c>
      <c r="Y199" s="116">
        <v>92778</v>
      </c>
      <c r="Z199" s="116">
        <v>100587</v>
      </c>
    </row>
    <row r="200" spans="1:26" ht="18" hidden="1" customHeight="1" x14ac:dyDescent="0.2">
      <c r="A200" s="46">
        <v>43051</v>
      </c>
      <c r="B200" s="47" t="s">
        <v>95</v>
      </c>
      <c r="C200" s="119">
        <f>(V201-V200)*1+(W201-W200)*32+(X201-X200)*12+(Y201-Y200)*6</f>
        <v>3038</v>
      </c>
      <c r="D200" s="99">
        <f>(N201-N200)*8+(P201-P200)*8</f>
        <v>5328</v>
      </c>
      <c r="E200" s="45">
        <f>(R201-R200)*1+(S201-S200)*120</f>
        <v>2869.9999999999945</v>
      </c>
      <c r="F200" s="45">
        <f>(Z201-Z200)*1</f>
        <v>157</v>
      </c>
      <c r="G200" s="79">
        <f>C200+D200+F200+E200</f>
        <v>11392.999999999995</v>
      </c>
      <c r="H200" s="77">
        <v>0</v>
      </c>
      <c r="I200" s="77">
        <v>3194</v>
      </c>
      <c r="J200" s="80">
        <f t="shared" si="50"/>
        <v>3194</v>
      </c>
      <c r="K200" s="81">
        <f>J200+J199+J198-G199-G198-G200</f>
        <v>577.00000000000546</v>
      </c>
      <c r="L200" s="43"/>
      <c r="N200" s="116">
        <v>53137</v>
      </c>
      <c r="O200" s="116">
        <v>47570</v>
      </c>
      <c r="P200" s="116">
        <v>1257</v>
      </c>
      <c r="Q200" s="116"/>
      <c r="R200" s="116">
        <v>16301</v>
      </c>
      <c r="S200" s="117">
        <v>1230.8</v>
      </c>
      <c r="T200" s="117"/>
      <c r="U200" s="117"/>
      <c r="V200" s="116">
        <v>102860</v>
      </c>
      <c r="W200" s="116">
        <v>96390</v>
      </c>
      <c r="X200" s="116">
        <v>58882</v>
      </c>
      <c r="Y200" s="116">
        <v>92778</v>
      </c>
      <c r="Z200" s="116">
        <v>100587</v>
      </c>
    </row>
    <row r="201" spans="1:26" ht="18" hidden="1" customHeight="1" x14ac:dyDescent="0.2">
      <c r="A201" s="46">
        <v>43052</v>
      </c>
      <c r="B201" s="47" t="s">
        <v>96</v>
      </c>
      <c r="C201" s="119">
        <f>(V202-V201)*1+(W202-W201)*32+(X202-X201)*12+(Y202-Y201)*6</f>
        <v>2106</v>
      </c>
      <c r="D201" s="99">
        <f>(N202-N201)*8+(P202-P201)*8</f>
        <v>1856</v>
      </c>
      <c r="E201" s="45">
        <f>(R202-R201)*1+(S202-S201)*120</f>
        <v>1124.0000000000164</v>
      </c>
      <c r="F201" s="45">
        <f>(Z202-Z201)*1</f>
        <v>57</v>
      </c>
      <c r="G201" s="79">
        <f>C201+D201+F201+E201</f>
        <v>5143.0000000000164</v>
      </c>
      <c r="H201" s="77">
        <v>4193</v>
      </c>
      <c r="I201" s="77">
        <v>951</v>
      </c>
      <c r="J201" s="80">
        <f t="shared" si="50"/>
        <v>5144</v>
      </c>
      <c r="K201" s="81">
        <f t="shared" si="49"/>
        <v>0.9999999999836291</v>
      </c>
      <c r="L201" s="43"/>
      <c r="N201" s="114">
        <v>53777</v>
      </c>
      <c r="O201" s="114">
        <v>47834</v>
      </c>
      <c r="P201" s="114">
        <v>1283</v>
      </c>
      <c r="Q201" s="114"/>
      <c r="R201" s="114">
        <v>16375</v>
      </c>
      <c r="S201" s="115">
        <v>1254.0999999999999</v>
      </c>
      <c r="T201" s="115"/>
      <c r="U201" s="115"/>
      <c r="V201" s="114">
        <v>103226</v>
      </c>
      <c r="W201" s="114">
        <v>96451</v>
      </c>
      <c r="X201" s="114">
        <v>58942</v>
      </c>
      <c r="Y201" s="114">
        <v>92778</v>
      </c>
      <c r="Z201" s="114">
        <v>100744</v>
      </c>
    </row>
    <row r="202" spans="1:26" ht="18" hidden="1" customHeight="1" x14ac:dyDescent="0.2">
      <c r="A202" s="46">
        <v>43053</v>
      </c>
      <c r="B202" s="47" t="s">
        <v>97</v>
      </c>
      <c r="C202" s="119">
        <f>(V203-V202)*1+(W203-W202)*32+(X203-X202)*12+(Y203-Y202)*6</f>
        <v>2183</v>
      </c>
      <c r="D202" s="99">
        <f>(N203-N202)*8+(P203-P202)*8</f>
        <v>2024</v>
      </c>
      <c r="E202" s="45">
        <f>(R203-R202)*1+(S203-S202)*120</f>
        <v>1067.9999999999891</v>
      </c>
      <c r="F202" s="45">
        <f>(Z203-Z202)*1</f>
        <v>59</v>
      </c>
      <c r="G202" s="79">
        <f>C202+D202+F202+E202</f>
        <v>5333.9999999999891</v>
      </c>
      <c r="H202" s="77">
        <v>4432</v>
      </c>
      <c r="I202" s="77">
        <v>1053</v>
      </c>
      <c r="J202" s="80">
        <f t="shared" si="50"/>
        <v>5485</v>
      </c>
      <c r="K202" s="81">
        <f t="shared" si="49"/>
        <v>151.00000000001091</v>
      </c>
      <c r="L202" s="43"/>
      <c r="N202" s="114">
        <v>53997</v>
      </c>
      <c r="O202" s="114">
        <v>47921</v>
      </c>
      <c r="P202" s="114">
        <v>1295</v>
      </c>
      <c r="Q202" s="114"/>
      <c r="R202" s="114">
        <v>16407</v>
      </c>
      <c r="S202" s="115">
        <v>1263.2</v>
      </c>
      <c r="T202" s="115"/>
      <c r="U202" s="115"/>
      <c r="V202" s="114">
        <v>103420</v>
      </c>
      <c r="W202" s="114">
        <v>96486</v>
      </c>
      <c r="X202" s="114">
        <v>59008</v>
      </c>
      <c r="Y202" s="114">
        <v>92778</v>
      </c>
      <c r="Z202" s="114">
        <v>100801</v>
      </c>
    </row>
    <row r="203" spans="1:26" ht="18" hidden="1" customHeight="1" x14ac:dyDescent="0.2">
      <c r="A203" s="46">
        <v>43054</v>
      </c>
      <c r="B203" s="47" t="s">
        <v>98</v>
      </c>
      <c r="C203" s="119">
        <f>(V204-V203)*1+(W204-W203)*32+(X204-X203)*12+(Y204-Y203)*6</f>
        <v>2191</v>
      </c>
      <c r="D203" s="99">
        <f>(N204-N203)*8+(P204-P203)*8</f>
        <v>2832</v>
      </c>
      <c r="E203" s="45">
        <f>(R204-R203)*1+(S204-S203)*120</f>
        <v>926</v>
      </c>
      <c r="F203" s="45">
        <f>(Z204-Z203)*1</f>
        <v>59</v>
      </c>
      <c r="G203" s="79">
        <f>C203+D203+F203+E203</f>
        <v>6008</v>
      </c>
      <c r="H203" s="77">
        <v>4238</v>
      </c>
      <c r="I203" s="77">
        <v>1070</v>
      </c>
      <c r="J203" s="80">
        <f t="shared" si="50"/>
        <v>5308</v>
      </c>
      <c r="K203" s="81">
        <f t="shared" si="49"/>
        <v>-700</v>
      </c>
      <c r="L203" s="43"/>
      <c r="N203" s="114">
        <v>54237</v>
      </c>
      <c r="O203" s="114">
        <v>48012</v>
      </c>
      <c r="P203" s="114">
        <v>1308</v>
      </c>
      <c r="Q203" s="114"/>
      <c r="R203" s="114">
        <v>16443</v>
      </c>
      <c r="S203" s="115">
        <v>1271.8</v>
      </c>
      <c r="T203" s="115"/>
      <c r="U203" s="115"/>
      <c r="V203" s="114">
        <v>103615</v>
      </c>
      <c r="W203" s="114">
        <v>96523</v>
      </c>
      <c r="X203" s="114">
        <v>59075</v>
      </c>
      <c r="Y203" s="114">
        <v>92778</v>
      </c>
      <c r="Z203" s="114">
        <v>100860</v>
      </c>
    </row>
    <row r="204" spans="1:26" ht="18" hidden="1" customHeight="1" x14ac:dyDescent="0.2">
      <c r="A204" s="46">
        <v>43055</v>
      </c>
      <c r="B204" s="47" t="s">
        <v>99</v>
      </c>
      <c r="C204" s="119">
        <f>(V205-V204)*1+(W205-W204)*32+(X205-X204)*12+(Y205-Y204)*6</f>
        <v>2465</v>
      </c>
      <c r="D204" s="99">
        <f>(N205-N204)*8+(P205-P204)*8</f>
        <v>1112</v>
      </c>
      <c r="E204" s="45">
        <f>(R205-R204)*1+(S205-S204)*120</f>
        <v>822.00000000001637</v>
      </c>
      <c r="F204" s="45">
        <f>(Z205-Z204)*1</f>
        <v>62</v>
      </c>
      <c r="G204" s="79">
        <f>C204+D204+F204+E204</f>
        <v>4461.0000000000164</v>
      </c>
      <c r="H204" s="77">
        <v>4385</v>
      </c>
      <c r="I204" s="77">
        <v>1043</v>
      </c>
      <c r="J204" s="80">
        <f t="shared" si="50"/>
        <v>5428</v>
      </c>
      <c r="K204" s="81">
        <f t="shared" si="49"/>
        <v>966.99999999998363</v>
      </c>
      <c r="L204" s="43"/>
      <c r="N204" s="114">
        <v>54577</v>
      </c>
      <c r="O204" s="114">
        <v>48102</v>
      </c>
      <c r="P204" s="114">
        <v>1322</v>
      </c>
      <c r="Q204" s="114"/>
      <c r="R204" s="114">
        <v>16469</v>
      </c>
      <c r="S204" s="115">
        <v>1279.3</v>
      </c>
      <c r="T204" s="115"/>
      <c r="U204" s="115"/>
      <c r="V204" s="114">
        <v>103806</v>
      </c>
      <c r="W204" s="114">
        <v>96560</v>
      </c>
      <c r="X204" s="114">
        <v>59143</v>
      </c>
      <c r="Y204" s="114">
        <v>92778</v>
      </c>
      <c r="Z204" s="114">
        <v>100919</v>
      </c>
    </row>
    <row r="205" spans="1:26" ht="18" hidden="1" customHeight="1" x14ac:dyDescent="0.2">
      <c r="A205" s="46">
        <v>43056</v>
      </c>
      <c r="B205" s="47" t="s">
        <v>100</v>
      </c>
      <c r="C205" s="119">
        <v>0</v>
      </c>
      <c r="D205" s="99">
        <v>0</v>
      </c>
      <c r="E205" s="45">
        <v>0</v>
      </c>
      <c r="F205" s="45">
        <v>0</v>
      </c>
      <c r="G205" s="79">
        <v>0</v>
      </c>
      <c r="H205" s="77">
        <v>4411</v>
      </c>
      <c r="I205" s="77">
        <v>1066</v>
      </c>
      <c r="J205" s="80">
        <f t="shared" si="50"/>
        <v>5477</v>
      </c>
      <c r="K205" s="81">
        <v>0</v>
      </c>
      <c r="L205" s="43"/>
      <c r="N205" s="114">
        <v>54707</v>
      </c>
      <c r="O205" s="114">
        <v>48191</v>
      </c>
      <c r="P205" s="114">
        <v>1331</v>
      </c>
      <c r="Q205" s="114"/>
      <c r="R205" s="114">
        <v>16499</v>
      </c>
      <c r="S205" s="115">
        <v>1285.9000000000001</v>
      </c>
      <c r="T205" s="115"/>
      <c r="U205" s="115"/>
      <c r="V205" s="114">
        <v>104047</v>
      </c>
      <c r="W205" s="114">
        <v>96601</v>
      </c>
      <c r="X205" s="114">
        <v>59219</v>
      </c>
      <c r="Y205" s="114">
        <v>92778</v>
      </c>
      <c r="Z205" s="114">
        <v>100981</v>
      </c>
    </row>
    <row r="206" spans="1:26" ht="18" hidden="1" customHeight="1" x14ac:dyDescent="0.2">
      <c r="A206" s="46">
        <v>43057</v>
      </c>
      <c r="B206" s="47" t="s">
        <v>101</v>
      </c>
      <c r="C206" s="119">
        <v>0</v>
      </c>
      <c r="D206" s="99">
        <v>0</v>
      </c>
      <c r="E206" s="45">
        <v>0</v>
      </c>
      <c r="F206" s="45">
        <v>0</v>
      </c>
      <c r="G206" s="79">
        <v>0</v>
      </c>
      <c r="H206" s="77"/>
      <c r="I206" s="77">
        <v>3683</v>
      </c>
      <c r="J206" s="80">
        <f t="shared" ref="J206:J218" si="51">H206+I206</f>
        <v>3683</v>
      </c>
      <c r="K206" s="81">
        <v>0</v>
      </c>
      <c r="L206" s="43"/>
      <c r="N206" s="116">
        <v>54707</v>
      </c>
      <c r="O206" s="116">
        <v>48191</v>
      </c>
      <c r="P206" s="116">
        <v>1331</v>
      </c>
      <c r="Q206" s="116"/>
      <c r="R206" s="116">
        <v>16499</v>
      </c>
      <c r="S206" s="117">
        <v>1285.9000000000001</v>
      </c>
      <c r="T206" s="117"/>
      <c r="U206" s="117"/>
      <c r="V206" s="116">
        <v>104047</v>
      </c>
      <c r="W206" s="116">
        <v>96601</v>
      </c>
      <c r="X206" s="116">
        <v>59219</v>
      </c>
      <c r="Y206" s="116">
        <v>92778</v>
      </c>
      <c r="Z206" s="116">
        <v>100981</v>
      </c>
    </row>
    <row r="207" spans="1:26" ht="18" hidden="1" customHeight="1" x14ac:dyDescent="0.2">
      <c r="A207" s="46">
        <v>43058</v>
      </c>
      <c r="B207" s="47" t="s">
        <v>95</v>
      </c>
      <c r="C207" s="119">
        <f>(V208-V207)*1+(W208-W207)*32+(X208-X207)*12+(Y208-Y207)*6</f>
        <v>3317</v>
      </c>
      <c r="D207" s="99">
        <f>(N208-N207)*8+(P208-P207)*8</f>
        <v>5872</v>
      </c>
      <c r="E207" s="45">
        <f>(R208-R207)*1+(S208-S207)*120</f>
        <v>2958</v>
      </c>
      <c r="F207" s="45">
        <f>(Z208-Z207)*1</f>
        <v>210</v>
      </c>
      <c r="G207" s="79">
        <f>C207+D207+F207+E207</f>
        <v>12357</v>
      </c>
      <c r="H207" s="77"/>
      <c r="I207" s="77">
        <v>3631</v>
      </c>
      <c r="J207" s="80">
        <f t="shared" si="51"/>
        <v>3631</v>
      </c>
      <c r="K207" s="81">
        <f>J207+J206+J205-G206-G205-G207</f>
        <v>434</v>
      </c>
      <c r="L207" s="43"/>
      <c r="N207" s="116">
        <v>54707</v>
      </c>
      <c r="O207" s="116">
        <v>48191</v>
      </c>
      <c r="P207" s="116">
        <v>1331</v>
      </c>
      <c r="Q207" s="116"/>
      <c r="R207" s="116">
        <v>16499</v>
      </c>
      <c r="S207" s="117">
        <v>1285.9000000000001</v>
      </c>
      <c r="T207" s="117"/>
      <c r="U207" s="117"/>
      <c r="V207" s="116">
        <v>104047</v>
      </c>
      <c r="W207" s="116">
        <v>96601</v>
      </c>
      <c r="X207" s="116">
        <v>59219</v>
      </c>
      <c r="Y207" s="116">
        <v>92778</v>
      </c>
      <c r="Z207" s="116">
        <v>100981</v>
      </c>
    </row>
    <row r="208" spans="1:26" ht="18" hidden="1" customHeight="1" x14ac:dyDescent="0.2">
      <c r="A208" s="46">
        <v>43059</v>
      </c>
      <c r="B208" s="47" t="s">
        <v>96</v>
      </c>
      <c r="C208" s="119">
        <f>(V209-V208)*1+(W209-W208)*32+(X209-X208)*12+(Y209-Y208)*6</f>
        <v>2546</v>
      </c>
      <c r="D208" s="99">
        <f>(N209-N208)*8+(P209-P208)*8</f>
        <v>1992</v>
      </c>
      <c r="E208" s="45">
        <f>(R209-R208)*1+(S209-S208)*120</f>
        <v>1084.9999999999945</v>
      </c>
      <c r="F208" s="45">
        <f>(Z209-Z208)*1</f>
        <v>96</v>
      </c>
      <c r="G208" s="79">
        <f>C208+D208+F208+E208</f>
        <v>5718.9999999999945</v>
      </c>
      <c r="H208" s="77">
        <v>4696</v>
      </c>
      <c r="I208" s="77">
        <v>1077</v>
      </c>
      <c r="J208" s="80">
        <f t="shared" si="51"/>
        <v>5773</v>
      </c>
      <c r="K208" s="81">
        <f t="shared" si="49"/>
        <v>54.000000000005457</v>
      </c>
      <c r="L208" s="43"/>
      <c r="N208" s="114">
        <v>55417</v>
      </c>
      <c r="O208" s="114">
        <v>48462</v>
      </c>
      <c r="P208" s="114">
        <v>1355</v>
      </c>
      <c r="Q208" s="114"/>
      <c r="R208" s="114">
        <v>16577</v>
      </c>
      <c r="S208" s="115">
        <v>1309.9000000000001</v>
      </c>
      <c r="T208" s="115"/>
      <c r="U208" s="115"/>
      <c r="V208" s="114">
        <v>104580</v>
      </c>
      <c r="W208" s="114">
        <v>96664</v>
      </c>
      <c r="X208" s="114">
        <v>59283</v>
      </c>
      <c r="Y208" s="114">
        <v>92778</v>
      </c>
      <c r="Z208" s="114">
        <v>101191</v>
      </c>
    </row>
    <row r="209" spans="1:26" ht="18" hidden="1" customHeight="1" x14ac:dyDescent="0.2">
      <c r="A209" s="46">
        <v>43060</v>
      </c>
      <c r="B209" s="47" t="s">
        <v>97</v>
      </c>
      <c r="C209" s="119">
        <f>(V210-V209)*1+(W210-W209)*32+(X210-X209)*12+(Y210-Y209)*6</f>
        <v>2385</v>
      </c>
      <c r="D209" s="99">
        <f>(N210-N209)*8+(P210-P209)*8</f>
        <v>2656</v>
      </c>
      <c r="E209" s="45">
        <f>(R210-R209)*1+(S210-S209)*120</f>
        <v>985</v>
      </c>
      <c r="F209" s="45">
        <f>(Z210-Z209)*1</f>
        <v>72</v>
      </c>
      <c r="G209" s="79">
        <f>C209+D209+F209+E209</f>
        <v>6098</v>
      </c>
      <c r="H209" s="77">
        <v>4459</v>
      </c>
      <c r="I209" s="77">
        <v>1110</v>
      </c>
      <c r="J209" s="80">
        <f t="shared" si="51"/>
        <v>5569</v>
      </c>
      <c r="K209" s="81">
        <f t="shared" si="49"/>
        <v>-529</v>
      </c>
      <c r="L209" s="43"/>
      <c r="N209" s="114">
        <v>55657</v>
      </c>
      <c r="O209" s="114">
        <v>48553</v>
      </c>
      <c r="P209" s="114">
        <v>1364</v>
      </c>
      <c r="Q209" s="114"/>
      <c r="R209" s="114">
        <v>16606</v>
      </c>
      <c r="S209" s="115">
        <v>1318.7</v>
      </c>
      <c r="T209" s="115"/>
      <c r="U209" s="115"/>
      <c r="V209" s="114">
        <v>104778</v>
      </c>
      <c r="W209" s="114">
        <v>96704</v>
      </c>
      <c r="X209" s="114">
        <v>59372</v>
      </c>
      <c r="Y209" s="114">
        <v>92778</v>
      </c>
      <c r="Z209" s="114">
        <v>101287</v>
      </c>
    </row>
    <row r="210" spans="1:26" ht="18" hidden="1" customHeight="1" x14ac:dyDescent="0.2">
      <c r="A210" s="46">
        <v>43061</v>
      </c>
      <c r="B210" s="47" t="s">
        <v>98</v>
      </c>
      <c r="C210" s="119">
        <f>(V211-V210)*1+(W211-W210)*32+(X211-X210)*12+(Y211-Y210)*6</f>
        <v>2317</v>
      </c>
      <c r="D210" s="99">
        <f>(N211-N210)*8+(P211-P210)*8</f>
        <v>1128</v>
      </c>
      <c r="E210" s="45">
        <f>(R211-R210)*1+(S211-S210)*120</f>
        <v>1044</v>
      </c>
      <c r="F210" s="45">
        <f>(Z211-Z210)*1</f>
        <v>95</v>
      </c>
      <c r="G210" s="79">
        <f>C210+D210+F210+E210</f>
        <v>4584</v>
      </c>
      <c r="H210" s="77">
        <v>4378</v>
      </c>
      <c r="I210" s="77">
        <v>1069</v>
      </c>
      <c r="J210" s="80">
        <f t="shared" si="51"/>
        <v>5447</v>
      </c>
      <c r="K210" s="81">
        <f t="shared" si="49"/>
        <v>863</v>
      </c>
      <c r="L210" s="43"/>
      <c r="N210" s="114">
        <v>55977</v>
      </c>
      <c r="O210" s="114">
        <v>48637</v>
      </c>
      <c r="P210" s="114">
        <v>1376</v>
      </c>
      <c r="Q210" s="114"/>
      <c r="R210" s="114">
        <v>16631</v>
      </c>
      <c r="S210" s="115">
        <v>1326.7</v>
      </c>
      <c r="T210" s="115"/>
      <c r="U210" s="115"/>
      <c r="V210" s="114">
        <v>104967</v>
      </c>
      <c r="W210" s="114">
        <v>96743</v>
      </c>
      <c r="X210" s="114">
        <v>59451</v>
      </c>
      <c r="Y210" s="114">
        <v>92778</v>
      </c>
      <c r="Z210" s="114">
        <v>101359</v>
      </c>
    </row>
    <row r="211" spans="1:26" ht="18" hidden="1" customHeight="1" x14ac:dyDescent="0.2">
      <c r="A211" s="46">
        <v>43062</v>
      </c>
      <c r="B211" s="47" t="s">
        <v>99</v>
      </c>
      <c r="C211" s="119">
        <f>(V212-V211)*1+(W212-W211)*32+(X212-X211)*12+(Y212-Y211)*6</f>
        <v>2173</v>
      </c>
      <c r="D211" s="99">
        <f>(N212-N211)*8+(P212-P211)*8</f>
        <v>1912</v>
      </c>
      <c r="E211" s="45">
        <f>(R212-R211)*1+(S212-S211)*120</f>
        <v>983</v>
      </c>
      <c r="F211" s="45">
        <f>(Z212-Z211)*1</f>
        <v>92</v>
      </c>
      <c r="G211" s="79">
        <f>C211+D211+F211+E211</f>
        <v>5160</v>
      </c>
      <c r="H211" s="77">
        <v>4175</v>
      </c>
      <c r="I211" s="77">
        <v>1097</v>
      </c>
      <c r="J211" s="80">
        <f t="shared" si="51"/>
        <v>5272</v>
      </c>
      <c r="K211" s="81">
        <f t="shared" si="49"/>
        <v>112</v>
      </c>
      <c r="L211" s="43"/>
      <c r="N211" s="114">
        <v>56107</v>
      </c>
      <c r="O211" s="114">
        <v>48721</v>
      </c>
      <c r="P211" s="114">
        <v>1387</v>
      </c>
      <c r="Q211" s="114"/>
      <c r="R211" s="114">
        <v>16655</v>
      </c>
      <c r="S211" s="115">
        <v>1335.2</v>
      </c>
      <c r="T211" s="115"/>
      <c r="U211" s="115"/>
      <c r="V211" s="114">
        <v>105168</v>
      </c>
      <c r="W211" s="114">
        <v>96781</v>
      </c>
      <c r="X211" s="114">
        <v>59526</v>
      </c>
      <c r="Y211" s="114">
        <v>92778</v>
      </c>
      <c r="Z211" s="114">
        <v>101454</v>
      </c>
    </row>
    <row r="212" spans="1:26" ht="18" hidden="1" customHeight="1" x14ac:dyDescent="0.2">
      <c r="A212" s="46">
        <v>43063</v>
      </c>
      <c r="B212" s="47" t="s">
        <v>100</v>
      </c>
      <c r="C212" s="119">
        <v>0</v>
      </c>
      <c r="D212" s="99">
        <v>0</v>
      </c>
      <c r="E212" s="45">
        <v>0</v>
      </c>
      <c r="F212" s="45">
        <v>0</v>
      </c>
      <c r="G212" s="79">
        <v>0</v>
      </c>
      <c r="H212" s="77">
        <v>4320</v>
      </c>
      <c r="I212" s="77">
        <v>1131</v>
      </c>
      <c r="J212" s="80">
        <f t="shared" si="51"/>
        <v>5451</v>
      </c>
      <c r="K212" s="81">
        <v>0</v>
      </c>
      <c r="L212" s="43"/>
      <c r="N212" s="114">
        <v>56337</v>
      </c>
      <c r="O212" s="114">
        <v>48810</v>
      </c>
      <c r="P212" s="114">
        <v>1396</v>
      </c>
      <c r="Q212" s="114"/>
      <c r="R212" s="114">
        <v>16678</v>
      </c>
      <c r="S212" s="115">
        <v>1343.2</v>
      </c>
      <c r="T212" s="115"/>
      <c r="U212" s="115"/>
      <c r="V212" s="114">
        <v>105353</v>
      </c>
      <c r="W212" s="114">
        <v>96818</v>
      </c>
      <c r="X212" s="114">
        <v>59593</v>
      </c>
      <c r="Y212" s="114">
        <v>92778</v>
      </c>
      <c r="Z212" s="114">
        <v>101546</v>
      </c>
    </row>
    <row r="213" spans="1:26" ht="18" hidden="1" customHeight="1" x14ac:dyDescent="0.2">
      <c r="A213" s="46">
        <v>43064</v>
      </c>
      <c r="B213" s="47" t="s">
        <v>101</v>
      </c>
      <c r="C213" s="119">
        <v>0</v>
      </c>
      <c r="D213" s="99">
        <v>0</v>
      </c>
      <c r="E213" s="45">
        <v>0</v>
      </c>
      <c r="F213" s="45">
        <v>0</v>
      </c>
      <c r="G213" s="79">
        <v>0</v>
      </c>
      <c r="H213" s="77"/>
      <c r="I213" s="77">
        <v>3463</v>
      </c>
      <c r="J213" s="80">
        <f t="shared" si="51"/>
        <v>3463</v>
      </c>
      <c r="K213" s="81">
        <v>0</v>
      </c>
      <c r="L213" s="43"/>
      <c r="N213" s="116">
        <v>56337</v>
      </c>
      <c r="O213" s="116">
        <v>48810</v>
      </c>
      <c r="P213" s="116">
        <v>1396</v>
      </c>
      <c r="Q213" s="116"/>
      <c r="R213" s="116">
        <v>16678</v>
      </c>
      <c r="S213" s="117">
        <v>1343.2</v>
      </c>
      <c r="T213" s="117"/>
      <c r="U213" s="117"/>
      <c r="V213" s="116">
        <v>105353</v>
      </c>
      <c r="W213" s="116">
        <v>96818</v>
      </c>
      <c r="X213" s="116">
        <v>59593</v>
      </c>
      <c r="Y213" s="116">
        <v>92778</v>
      </c>
      <c r="Z213" s="116">
        <v>101546</v>
      </c>
    </row>
    <row r="214" spans="1:26" ht="18" hidden="1" customHeight="1" x14ac:dyDescent="0.2">
      <c r="A214" s="46">
        <v>43065</v>
      </c>
      <c r="B214" s="47" t="s">
        <v>95</v>
      </c>
      <c r="C214" s="119">
        <f t="shared" ref="C214:C220" si="52">(V215-V214)*1+(W215-W214)*32+(X215-X214)*12+(Y215-Y214)*6</f>
        <v>3228</v>
      </c>
      <c r="D214" s="99">
        <f t="shared" ref="D214:D253" si="53">(N215-N214)*8+(P215-P214)*8</f>
        <v>5560</v>
      </c>
      <c r="E214" s="45">
        <f t="shared" ref="E214:E253" si="54">(R215-R214)*1+(S215-S214)*120</f>
        <v>2985.0000000000055</v>
      </c>
      <c r="F214" s="45">
        <f t="shared" ref="F214:F220" si="55">(Z215-Z214)*1</f>
        <v>297</v>
      </c>
      <c r="G214" s="79">
        <f t="shared" ref="G214:G220" si="56">C214+D214+F214+E214</f>
        <v>12070.000000000005</v>
      </c>
      <c r="H214" s="77"/>
      <c r="I214" s="77">
        <v>3591</v>
      </c>
      <c r="J214" s="80">
        <f t="shared" si="51"/>
        <v>3591</v>
      </c>
      <c r="K214" s="81">
        <f>J214+J213+J212-G213-G212-G214</f>
        <v>434.99999999999454</v>
      </c>
      <c r="L214" s="43"/>
      <c r="N214" s="116">
        <v>56337</v>
      </c>
      <c r="O214" s="116">
        <v>48810</v>
      </c>
      <c r="P214" s="116">
        <v>1396</v>
      </c>
      <c r="Q214" s="116"/>
      <c r="R214" s="116">
        <v>16678</v>
      </c>
      <c r="S214" s="117">
        <v>1343.2</v>
      </c>
      <c r="T214" s="117"/>
      <c r="U214" s="117"/>
      <c r="V214" s="116">
        <v>105353</v>
      </c>
      <c r="W214" s="116">
        <v>96818</v>
      </c>
      <c r="X214" s="116">
        <v>59593</v>
      </c>
      <c r="Y214" s="116">
        <v>92778</v>
      </c>
      <c r="Z214" s="116">
        <v>101546</v>
      </c>
    </row>
    <row r="215" spans="1:26" ht="18" hidden="1" customHeight="1" x14ac:dyDescent="0.2">
      <c r="A215" s="46">
        <v>43066</v>
      </c>
      <c r="B215" s="47" t="s">
        <v>96</v>
      </c>
      <c r="C215" s="119">
        <f t="shared" si="52"/>
        <v>2388</v>
      </c>
      <c r="D215" s="99">
        <f t="shared" si="53"/>
        <v>1840</v>
      </c>
      <c r="E215" s="45">
        <f t="shared" si="54"/>
        <v>1191.9999999999782</v>
      </c>
      <c r="F215" s="45">
        <f t="shared" si="55"/>
        <v>88</v>
      </c>
      <c r="G215" s="79">
        <f t="shared" si="56"/>
        <v>5507.9999999999782</v>
      </c>
      <c r="H215" s="77">
        <v>4535</v>
      </c>
      <c r="I215" s="77">
        <v>1048</v>
      </c>
      <c r="J215" s="80">
        <f t="shared" si="51"/>
        <v>5583</v>
      </c>
      <c r="K215" s="81">
        <f t="shared" si="49"/>
        <v>75.000000000021828</v>
      </c>
      <c r="L215" s="43"/>
      <c r="N215" s="114">
        <v>57007</v>
      </c>
      <c r="O215" s="114">
        <v>49061</v>
      </c>
      <c r="P215" s="114">
        <v>1421</v>
      </c>
      <c r="Q215" s="114"/>
      <c r="R215" s="114">
        <v>16759</v>
      </c>
      <c r="S215" s="115">
        <v>1367.4</v>
      </c>
      <c r="T215" s="115"/>
      <c r="U215" s="115"/>
      <c r="V215" s="114">
        <v>105841</v>
      </c>
      <c r="W215" s="114">
        <v>96874</v>
      </c>
      <c r="X215" s="114">
        <v>59672</v>
      </c>
      <c r="Y215" s="114">
        <v>92778</v>
      </c>
      <c r="Z215" s="114">
        <v>101843</v>
      </c>
    </row>
    <row r="216" spans="1:26" ht="18" hidden="1" customHeight="1" x14ac:dyDescent="0.2">
      <c r="A216" s="46">
        <v>43067</v>
      </c>
      <c r="B216" s="47" t="s">
        <v>97</v>
      </c>
      <c r="C216" s="119">
        <f t="shared" si="52"/>
        <v>2322</v>
      </c>
      <c r="D216" s="99">
        <f t="shared" si="53"/>
        <v>1840</v>
      </c>
      <c r="E216" s="45">
        <f t="shared" si="54"/>
        <v>883.00000000001637</v>
      </c>
      <c r="F216" s="45">
        <f t="shared" si="55"/>
        <v>80</v>
      </c>
      <c r="G216" s="79">
        <f t="shared" si="56"/>
        <v>5125.0000000000164</v>
      </c>
      <c r="H216" s="77">
        <v>4282</v>
      </c>
      <c r="I216" s="77">
        <v>1033</v>
      </c>
      <c r="J216" s="80">
        <f t="shared" si="51"/>
        <v>5315</v>
      </c>
      <c r="K216" s="81">
        <f t="shared" si="49"/>
        <v>189.99999999998363</v>
      </c>
      <c r="L216" s="43"/>
      <c r="N216" s="114">
        <v>57227</v>
      </c>
      <c r="O216" s="114">
        <v>49145</v>
      </c>
      <c r="P216" s="114">
        <v>1431</v>
      </c>
      <c r="Q216" s="114"/>
      <c r="R216" s="114">
        <v>16787</v>
      </c>
      <c r="S216" s="115">
        <v>1377.1</v>
      </c>
      <c r="T216" s="115"/>
      <c r="U216" s="115"/>
      <c r="V216" s="114">
        <v>106037</v>
      </c>
      <c r="W216" s="114">
        <v>96911</v>
      </c>
      <c r="X216" s="114">
        <v>59756</v>
      </c>
      <c r="Y216" s="114">
        <v>92778</v>
      </c>
      <c r="Z216" s="114">
        <v>101931</v>
      </c>
    </row>
    <row r="217" spans="1:26" ht="18" hidden="1" customHeight="1" x14ac:dyDescent="0.2">
      <c r="A217" s="46">
        <v>43068</v>
      </c>
      <c r="B217" s="47" t="s">
        <v>98</v>
      </c>
      <c r="C217" s="119">
        <f t="shared" si="52"/>
        <v>2199</v>
      </c>
      <c r="D217" s="99">
        <f t="shared" si="53"/>
        <v>1968</v>
      </c>
      <c r="E217" s="45">
        <f t="shared" si="54"/>
        <v>941.99999999998909</v>
      </c>
      <c r="F217" s="45">
        <f t="shared" si="55"/>
        <v>70</v>
      </c>
      <c r="G217" s="79">
        <f t="shared" si="56"/>
        <v>5178.9999999999891</v>
      </c>
      <c r="H217" s="77">
        <v>4237</v>
      </c>
      <c r="I217" s="77">
        <v>1042</v>
      </c>
      <c r="J217" s="80">
        <f t="shared" si="51"/>
        <v>5279</v>
      </c>
      <c r="K217" s="81">
        <f t="shared" si="49"/>
        <v>100.00000000001091</v>
      </c>
      <c r="L217" s="43"/>
      <c r="N217" s="114">
        <v>57447</v>
      </c>
      <c r="O217" s="114">
        <v>49232</v>
      </c>
      <c r="P217" s="114">
        <v>1441</v>
      </c>
      <c r="Q217" s="114"/>
      <c r="R217" s="114">
        <v>16818</v>
      </c>
      <c r="S217" s="115">
        <v>1384.2</v>
      </c>
      <c r="T217" s="115"/>
      <c r="U217" s="115"/>
      <c r="V217" s="114">
        <v>106247</v>
      </c>
      <c r="W217" s="114">
        <v>96950</v>
      </c>
      <c r="X217" s="114">
        <v>59828</v>
      </c>
      <c r="Y217" s="114">
        <v>92778</v>
      </c>
      <c r="Z217" s="114">
        <v>102011</v>
      </c>
    </row>
    <row r="218" spans="1:26" ht="18" hidden="1" customHeight="1" x14ac:dyDescent="0.2">
      <c r="A218" s="46">
        <v>43069</v>
      </c>
      <c r="B218" s="47" t="s">
        <v>99</v>
      </c>
      <c r="C218" s="119">
        <f t="shared" si="52"/>
        <v>2008</v>
      </c>
      <c r="D218" s="99">
        <f t="shared" si="53"/>
        <v>1728</v>
      </c>
      <c r="E218" s="45">
        <f t="shared" si="54"/>
        <v>892.00000000000546</v>
      </c>
      <c r="F218" s="45">
        <f t="shared" si="55"/>
        <v>84</v>
      </c>
      <c r="G218" s="79">
        <f t="shared" si="56"/>
        <v>4712.0000000000055</v>
      </c>
      <c r="H218" s="77">
        <v>3967</v>
      </c>
      <c r="I218" s="77">
        <v>1023</v>
      </c>
      <c r="J218" s="80">
        <f t="shared" si="51"/>
        <v>4990</v>
      </c>
      <c r="K218" s="81">
        <f t="shared" si="49"/>
        <v>277.99999999999454</v>
      </c>
      <c r="L218" s="43"/>
      <c r="N218" s="114">
        <v>57677</v>
      </c>
      <c r="O218" s="114">
        <v>49317</v>
      </c>
      <c r="P218" s="114">
        <v>1457</v>
      </c>
      <c r="Q218" s="114"/>
      <c r="R218" s="114">
        <v>16848</v>
      </c>
      <c r="S218" s="115">
        <v>1391.8</v>
      </c>
      <c r="T218" s="115"/>
      <c r="U218" s="115"/>
      <c r="V218" s="114">
        <v>106494</v>
      </c>
      <c r="W218" s="114">
        <v>96987</v>
      </c>
      <c r="X218" s="114">
        <v>59892</v>
      </c>
      <c r="Y218" s="114">
        <v>92778</v>
      </c>
      <c r="Z218" s="114">
        <v>102081</v>
      </c>
    </row>
    <row r="219" spans="1:26" ht="18" hidden="1" customHeight="1" x14ac:dyDescent="0.2">
      <c r="A219" s="46">
        <v>43070</v>
      </c>
      <c r="B219" s="47" t="s">
        <v>100</v>
      </c>
      <c r="C219" s="48">
        <f t="shared" si="52"/>
        <v>0</v>
      </c>
      <c r="D219" s="99">
        <f t="shared" si="53"/>
        <v>0</v>
      </c>
      <c r="E219" s="45">
        <f t="shared" si="54"/>
        <v>0</v>
      </c>
      <c r="F219" s="45">
        <f t="shared" si="55"/>
        <v>0</v>
      </c>
      <c r="G219" s="79">
        <f t="shared" si="56"/>
        <v>0</v>
      </c>
      <c r="H219" s="77">
        <v>3945</v>
      </c>
      <c r="I219" s="77">
        <v>984</v>
      </c>
      <c r="J219" s="80">
        <f>H219+I219</f>
        <v>4929</v>
      </c>
      <c r="K219" s="81"/>
      <c r="L219" s="43"/>
      <c r="N219" s="52">
        <v>57887</v>
      </c>
      <c r="O219" s="52">
        <v>49397</v>
      </c>
      <c r="P219" s="52">
        <v>1463</v>
      </c>
      <c r="Q219" s="52"/>
      <c r="R219" s="52">
        <v>16876</v>
      </c>
      <c r="S219" s="95">
        <v>1399</v>
      </c>
      <c r="T219" s="95"/>
      <c r="U219" s="95"/>
      <c r="V219" s="52">
        <v>106694</v>
      </c>
      <c r="W219" s="52">
        <v>97021</v>
      </c>
      <c r="X219" s="52">
        <v>59952</v>
      </c>
      <c r="Y219" s="52">
        <v>92778</v>
      </c>
      <c r="Z219" s="52">
        <v>102165</v>
      </c>
    </row>
    <row r="220" spans="1:26" ht="18" hidden="1" customHeight="1" x14ac:dyDescent="0.2">
      <c r="A220" s="46">
        <v>43071</v>
      </c>
      <c r="B220" s="56" t="s">
        <v>103</v>
      </c>
      <c r="C220" s="48">
        <f t="shared" si="52"/>
        <v>0</v>
      </c>
      <c r="D220" s="99">
        <f t="shared" si="53"/>
        <v>0</v>
      </c>
      <c r="E220" s="45">
        <f t="shared" si="54"/>
        <v>0</v>
      </c>
      <c r="F220" s="45">
        <f t="shared" si="55"/>
        <v>0</v>
      </c>
      <c r="G220" s="79">
        <f t="shared" si="56"/>
        <v>0</v>
      </c>
      <c r="H220" s="77">
        <v>0</v>
      </c>
      <c r="I220" s="77">
        <v>4312</v>
      </c>
      <c r="J220" s="80">
        <f t="shared" ref="J220:J249" si="57">H220+I220</f>
        <v>4312</v>
      </c>
      <c r="K220" s="81"/>
      <c r="L220" s="43"/>
      <c r="N220" s="55">
        <v>57887</v>
      </c>
      <c r="O220" s="55">
        <v>49397</v>
      </c>
      <c r="P220" s="55">
        <v>1463</v>
      </c>
      <c r="Q220" s="55"/>
      <c r="R220" s="55">
        <v>16876</v>
      </c>
      <c r="S220" s="96">
        <v>1399</v>
      </c>
      <c r="T220" s="96"/>
      <c r="U220" s="96"/>
      <c r="V220" s="55">
        <v>106694</v>
      </c>
      <c r="W220" s="55">
        <v>97021</v>
      </c>
      <c r="X220" s="55">
        <v>59952</v>
      </c>
      <c r="Y220" s="55">
        <v>92778</v>
      </c>
      <c r="Z220" s="55">
        <v>102165</v>
      </c>
    </row>
    <row r="221" spans="1:26" ht="18" hidden="1" customHeight="1" x14ac:dyDescent="0.2">
      <c r="A221" s="46">
        <v>43072</v>
      </c>
      <c r="B221" s="56" t="s">
        <v>104</v>
      </c>
      <c r="C221" s="48">
        <f t="shared" ref="C221:C228" si="58">(V222-V221)*1+(W222-W221)*32+(X222-X221)*12+(Y222-Y221)*6</f>
        <v>3770</v>
      </c>
      <c r="D221" s="99">
        <f t="shared" si="53"/>
        <v>5304</v>
      </c>
      <c r="E221" s="45">
        <f t="shared" si="54"/>
        <v>2885.0000000000109</v>
      </c>
      <c r="F221" s="45">
        <f t="shared" ref="F221:F228" si="59">(Z222-Z221)*1</f>
        <v>238</v>
      </c>
      <c r="G221" s="79">
        <f t="shared" ref="G221:G228" si="60">C221+D221+F221+E221</f>
        <v>12197.000000000011</v>
      </c>
      <c r="H221" s="77">
        <v>0</v>
      </c>
      <c r="I221" s="77">
        <v>3360</v>
      </c>
      <c r="J221" s="80">
        <f t="shared" si="57"/>
        <v>3360</v>
      </c>
      <c r="K221" s="81">
        <f>J219+J220+J221-G221</f>
        <v>403.99999999998909</v>
      </c>
      <c r="L221" s="43"/>
      <c r="N221" s="55">
        <v>57887</v>
      </c>
      <c r="O221" s="55">
        <v>49397</v>
      </c>
      <c r="P221" s="55">
        <v>1463</v>
      </c>
      <c r="Q221" s="55"/>
      <c r="R221" s="55">
        <v>16876</v>
      </c>
      <c r="S221" s="96">
        <v>1399</v>
      </c>
      <c r="T221" s="96"/>
      <c r="U221" s="96"/>
      <c r="V221" s="55">
        <v>106694</v>
      </c>
      <c r="W221" s="55">
        <v>97021</v>
      </c>
      <c r="X221" s="55">
        <v>59952</v>
      </c>
      <c r="Y221" s="55">
        <v>92778</v>
      </c>
      <c r="Z221" s="55">
        <v>102165</v>
      </c>
    </row>
    <row r="222" spans="1:26" ht="18" hidden="1" customHeight="1" x14ac:dyDescent="0.2">
      <c r="A222" s="46">
        <v>43073</v>
      </c>
      <c r="B222" s="47" t="s">
        <v>96</v>
      </c>
      <c r="C222" s="48">
        <f t="shared" si="58"/>
        <v>1980</v>
      </c>
      <c r="D222" s="99">
        <f t="shared" si="53"/>
        <v>1784</v>
      </c>
      <c r="E222" s="45">
        <f t="shared" si="54"/>
        <v>1033.9999999999836</v>
      </c>
      <c r="F222" s="45">
        <f t="shared" si="59"/>
        <v>84</v>
      </c>
      <c r="G222" s="79">
        <f t="shared" si="60"/>
        <v>4881.9999999999836</v>
      </c>
      <c r="H222" s="77">
        <v>4041</v>
      </c>
      <c r="I222" s="77">
        <v>937</v>
      </c>
      <c r="J222" s="80">
        <f t="shared" si="57"/>
        <v>4978</v>
      </c>
      <c r="K222" s="81">
        <f t="shared" si="49"/>
        <v>96.000000000016371</v>
      </c>
      <c r="L222" s="43"/>
      <c r="N222" s="52">
        <v>58527</v>
      </c>
      <c r="O222" s="52">
        <v>49636</v>
      </c>
      <c r="P222" s="52">
        <v>1486</v>
      </c>
      <c r="Q222" s="52"/>
      <c r="R222" s="52">
        <v>16953</v>
      </c>
      <c r="S222" s="95">
        <v>1422.4</v>
      </c>
      <c r="T222" s="95"/>
      <c r="U222" s="95"/>
      <c r="V222" s="52">
        <v>107176</v>
      </c>
      <c r="W222" s="52">
        <v>97087</v>
      </c>
      <c r="X222" s="52">
        <v>60050</v>
      </c>
      <c r="Y222" s="52">
        <v>92778</v>
      </c>
      <c r="Z222" s="52">
        <v>102403</v>
      </c>
    </row>
    <row r="223" spans="1:26" ht="18" hidden="1" customHeight="1" x14ac:dyDescent="0.2">
      <c r="A223" s="46">
        <v>43074</v>
      </c>
      <c r="B223" s="47" t="s">
        <v>97</v>
      </c>
      <c r="C223" s="48">
        <f t="shared" si="58"/>
        <v>2001</v>
      </c>
      <c r="D223" s="99">
        <f t="shared" si="53"/>
        <v>1768</v>
      </c>
      <c r="E223" s="45">
        <f t="shared" si="54"/>
        <v>997.00000000001637</v>
      </c>
      <c r="F223" s="45">
        <f t="shared" si="59"/>
        <v>97</v>
      </c>
      <c r="G223" s="79">
        <f t="shared" si="60"/>
        <v>4863.0000000000164</v>
      </c>
      <c r="H223" s="77">
        <v>4045</v>
      </c>
      <c r="I223" s="77">
        <v>998</v>
      </c>
      <c r="J223" s="80">
        <f t="shared" si="57"/>
        <v>5043</v>
      </c>
      <c r="K223" s="81">
        <f t="shared" si="49"/>
        <v>179.99999999998363</v>
      </c>
      <c r="L223" s="43"/>
      <c r="N223" s="52">
        <v>58737</v>
      </c>
      <c r="O223" s="52">
        <v>49710</v>
      </c>
      <c r="P223" s="52">
        <v>1499</v>
      </c>
      <c r="Q223" s="52"/>
      <c r="R223" s="52">
        <v>16979</v>
      </c>
      <c r="S223" s="95">
        <v>1430.8</v>
      </c>
      <c r="T223" s="95"/>
      <c r="U223" s="95"/>
      <c r="V223" s="52">
        <v>107360</v>
      </c>
      <c r="W223" s="52">
        <v>97118</v>
      </c>
      <c r="X223" s="52">
        <v>60117</v>
      </c>
      <c r="Y223" s="52">
        <v>92778</v>
      </c>
      <c r="Z223" s="52">
        <v>102487</v>
      </c>
    </row>
    <row r="224" spans="1:26" ht="18" hidden="1" customHeight="1" x14ac:dyDescent="0.2">
      <c r="A224" s="46">
        <v>43075</v>
      </c>
      <c r="B224" s="47" t="s">
        <v>98</v>
      </c>
      <c r="C224" s="48">
        <f t="shared" si="58"/>
        <v>2076</v>
      </c>
      <c r="D224" s="99">
        <f t="shared" si="53"/>
        <v>2144</v>
      </c>
      <c r="E224" s="45">
        <f t="shared" si="54"/>
        <v>933.99999999998909</v>
      </c>
      <c r="F224" s="45">
        <f t="shared" si="59"/>
        <v>102</v>
      </c>
      <c r="G224" s="79">
        <f t="shared" si="60"/>
        <v>5255.9999999999891</v>
      </c>
      <c r="H224" s="77">
        <v>4066</v>
      </c>
      <c r="I224" s="77">
        <v>1073</v>
      </c>
      <c r="J224" s="80">
        <f t="shared" si="57"/>
        <v>5139</v>
      </c>
      <c r="K224" s="81">
        <f t="shared" si="49"/>
        <v>-116.99999999998909</v>
      </c>
      <c r="L224" s="43"/>
      <c r="N224" s="52">
        <v>58957</v>
      </c>
      <c r="O224" s="52">
        <v>49807</v>
      </c>
      <c r="P224" s="52">
        <v>1500</v>
      </c>
      <c r="Q224" s="52"/>
      <c r="R224" s="52">
        <v>17004</v>
      </c>
      <c r="S224" s="95">
        <v>1438.9</v>
      </c>
      <c r="T224" s="95"/>
      <c r="U224" s="95"/>
      <c r="V224" s="52">
        <v>107541</v>
      </c>
      <c r="W224" s="52">
        <v>97149</v>
      </c>
      <c r="X224" s="52">
        <v>60186</v>
      </c>
      <c r="Y224" s="52">
        <v>92778</v>
      </c>
      <c r="Z224" s="52">
        <v>102584</v>
      </c>
    </row>
    <row r="225" spans="1:26" ht="18" hidden="1" customHeight="1" x14ac:dyDescent="0.2">
      <c r="A225" s="46">
        <v>43076</v>
      </c>
      <c r="B225" s="47" t="s">
        <v>99</v>
      </c>
      <c r="C225" s="48">
        <f t="shared" si="58"/>
        <v>1810</v>
      </c>
      <c r="D225" s="99">
        <f t="shared" si="53"/>
        <v>2576</v>
      </c>
      <c r="E225" s="45">
        <f t="shared" si="54"/>
        <v>816.99999999998909</v>
      </c>
      <c r="F225" s="45">
        <f t="shared" si="59"/>
        <v>108</v>
      </c>
      <c r="G225" s="79">
        <f t="shared" si="60"/>
        <v>5310.9999999999891</v>
      </c>
      <c r="H225" s="77">
        <v>3691</v>
      </c>
      <c r="I225" s="77">
        <v>1072</v>
      </c>
      <c r="J225" s="80">
        <f t="shared" si="57"/>
        <v>4763</v>
      </c>
      <c r="K225" s="81">
        <f t="shared" si="49"/>
        <v>-547.99999999998909</v>
      </c>
      <c r="L225" s="43"/>
      <c r="N225" s="52">
        <v>59207</v>
      </c>
      <c r="O225" s="52">
        <v>49891</v>
      </c>
      <c r="P225" s="52">
        <v>1518</v>
      </c>
      <c r="Q225" s="52"/>
      <c r="R225" s="52">
        <v>17026</v>
      </c>
      <c r="S225" s="95">
        <v>1446.5</v>
      </c>
      <c r="T225" s="95"/>
      <c r="U225" s="95"/>
      <c r="V225" s="52">
        <v>107737</v>
      </c>
      <c r="W225" s="52">
        <v>97180</v>
      </c>
      <c r="X225" s="52">
        <v>60260</v>
      </c>
      <c r="Y225" s="52">
        <v>92778</v>
      </c>
      <c r="Z225" s="52">
        <v>102686</v>
      </c>
    </row>
    <row r="226" spans="1:26" ht="18" hidden="1" customHeight="1" x14ac:dyDescent="0.2">
      <c r="A226" s="46">
        <v>43077</v>
      </c>
      <c r="B226" s="47" t="s">
        <v>100</v>
      </c>
      <c r="C226" s="48">
        <f t="shared" si="58"/>
        <v>0</v>
      </c>
      <c r="D226" s="99">
        <f t="shared" si="53"/>
        <v>0</v>
      </c>
      <c r="E226" s="45">
        <f t="shared" si="54"/>
        <v>0</v>
      </c>
      <c r="F226" s="45">
        <f t="shared" si="59"/>
        <v>0</v>
      </c>
      <c r="G226" s="79">
        <f t="shared" si="60"/>
        <v>0</v>
      </c>
      <c r="H226" s="77">
        <v>4090</v>
      </c>
      <c r="I226" s="77">
        <v>1039</v>
      </c>
      <c r="J226" s="80">
        <f t="shared" si="57"/>
        <v>5129</v>
      </c>
      <c r="K226" s="81"/>
      <c r="L226" s="43"/>
      <c r="N226" s="52">
        <v>59517</v>
      </c>
      <c r="O226" s="52">
        <v>49973</v>
      </c>
      <c r="P226" s="52">
        <v>1530</v>
      </c>
      <c r="Q226" s="52"/>
      <c r="R226" s="52">
        <v>17051</v>
      </c>
      <c r="S226" s="95">
        <v>1453.1</v>
      </c>
      <c r="T226" s="95"/>
      <c r="U226" s="95"/>
      <c r="V226" s="52">
        <v>107907</v>
      </c>
      <c r="W226" s="52">
        <v>97208</v>
      </c>
      <c r="X226" s="52">
        <v>60322</v>
      </c>
      <c r="Y226" s="52">
        <v>92778</v>
      </c>
      <c r="Z226" s="52">
        <v>102794</v>
      </c>
    </row>
    <row r="227" spans="1:26" ht="18" hidden="1" customHeight="1" x14ac:dyDescent="0.2">
      <c r="A227" s="46">
        <v>43078</v>
      </c>
      <c r="B227" s="47" t="s">
        <v>101</v>
      </c>
      <c r="C227" s="48">
        <f t="shared" si="58"/>
        <v>0</v>
      </c>
      <c r="D227" s="99">
        <f t="shared" si="53"/>
        <v>0</v>
      </c>
      <c r="E227" s="45">
        <f t="shared" si="54"/>
        <v>0</v>
      </c>
      <c r="F227" s="45">
        <f t="shared" si="59"/>
        <v>0</v>
      </c>
      <c r="G227" s="79">
        <f t="shared" si="60"/>
        <v>0</v>
      </c>
      <c r="H227" s="77">
        <v>0</v>
      </c>
      <c r="I227" s="77">
        <v>3613</v>
      </c>
      <c r="J227" s="80">
        <f t="shared" si="57"/>
        <v>3613</v>
      </c>
      <c r="K227" s="81"/>
      <c r="L227" s="43"/>
      <c r="N227" s="55">
        <v>59517</v>
      </c>
      <c r="O227" s="55">
        <v>49973</v>
      </c>
      <c r="P227" s="55">
        <v>1530</v>
      </c>
      <c r="Q227" s="55"/>
      <c r="R227" s="55">
        <v>17051</v>
      </c>
      <c r="S227" s="96">
        <v>1453.1</v>
      </c>
      <c r="T227" s="96"/>
      <c r="U227" s="96"/>
      <c r="V227" s="55">
        <v>107907</v>
      </c>
      <c r="W227" s="55">
        <v>97208</v>
      </c>
      <c r="X227" s="55">
        <v>60322</v>
      </c>
      <c r="Y227" s="55">
        <v>92778</v>
      </c>
      <c r="Z227" s="55">
        <v>102794</v>
      </c>
    </row>
    <row r="228" spans="1:26" ht="18" hidden="1" customHeight="1" x14ac:dyDescent="0.2">
      <c r="A228" s="46">
        <v>43079</v>
      </c>
      <c r="B228" s="47" t="s">
        <v>95</v>
      </c>
      <c r="C228" s="48">
        <f t="shared" si="58"/>
        <v>2866</v>
      </c>
      <c r="D228" s="99">
        <f t="shared" si="53"/>
        <v>4824</v>
      </c>
      <c r="E228" s="45">
        <f t="shared" si="54"/>
        <v>3091.0000000000164</v>
      </c>
      <c r="F228" s="45">
        <f t="shared" si="59"/>
        <v>288</v>
      </c>
      <c r="G228" s="79">
        <f t="shared" si="60"/>
        <v>11069.000000000016</v>
      </c>
      <c r="H228" s="77">
        <v>0</v>
      </c>
      <c r="I228" s="77">
        <v>3557</v>
      </c>
      <c r="J228" s="80">
        <f t="shared" si="57"/>
        <v>3557</v>
      </c>
      <c r="K228" s="81">
        <f>J226+J227+J228-G228</f>
        <v>1229.9999999999836</v>
      </c>
      <c r="L228" s="43"/>
      <c r="N228" s="55">
        <v>59517</v>
      </c>
      <c r="O228" s="55">
        <v>49973</v>
      </c>
      <c r="P228" s="55">
        <v>1530</v>
      </c>
      <c r="Q228" s="55"/>
      <c r="R228" s="55">
        <v>17051</v>
      </c>
      <c r="S228" s="96">
        <v>1453.1</v>
      </c>
      <c r="T228" s="96"/>
      <c r="U228" s="96"/>
      <c r="V228" s="55">
        <v>107907</v>
      </c>
      <c r="W228" s="55">
        <v>97208</v>
      </c>
      <c r="X228" s="55">
        <v>60322</v>
      </c>
      <c r="Y228" s="55">
        <v>92778</v>
      </c>
      <c r="Z228" s="55">
        <v>102794</v>
      </c>
    </row>
    <row r="229" spans="1:26" ht="18" hidden="1" customHeight="1" x14ac:dyDescent="0.2">
      <c r="A229" s="46">
        <v>43080</v>
      </c>
      <c r="B229" s="47" t="s">
        <v>96</v>
      </c>
      <c r="C229" s="48">
        <f t="shared" ref="C229:C234" si="61">(V230-V229)*1+(W230-W229)*32+(X230-X229)*12+(Y230-Y229)*6</f>
        <v>2479</v>
      </c>
      <c r="D229" s="99">
        <f t="shared" si="53"/>
        <v>1840</v>
      </c>
      <c r="E229" s="45">
        <f t="shared" si="54"/>
        <v>1227</v>
      </c>
      <c r="F229" s="45">
        <f t="shared" ref="F229:F234" si="62">(Z230-Z229)*1</f>
        <v>109</v>
      </c>
      <c r="G229" s="79">
        <f t="shared" ref="G229:G234" si="63">C229+D229+F229+E229</f>
        <v>5655</v>
      </c>
      <c r="H229" s="77">
        <v>4528</v>
      </c>
      <c r="I229" s="77">
        <v>1036</v>
      </c>
      <c r="J229" s="80">
        <f t="shared" si="57"/>
        <v>5564</v>
      </c>
      <c r="K229" s="81">
        <f t="shared" si="49"/>
        <v>-91</v>
      </c>
      <c r="L229" s="43"/>
      <c r="N229" s="52">
        <v>60097</v>
      </c>
      <c r="O229" s="52">
        <v>50229</v>
      </c>
      <c r="P229" s="52">
        <v>1553</v>
      </c>
      <c r="Q229" s="52"/>
      <c r="R229" s="52">
        <v>17130</v>
      </c>
      <c r="S229" s="95">
        <v>1478.2</v>
      </c>
      <c r="T229" s="95"/>
      <c r="U229" s="95"/>
      <c r="V229" s="52">
        <v>108389</v>
      </c>
      <c r="W229" s="52">
        <v>97257</v>
      </c>
      <c r="X229" s="52">
        <v>60390</v>
      </c>
      <c r="Y229" s="52">
        <v>92778</v>
      </c>
      <c r="Z229" s="52">
        <v>103082</v>
      </c>
    </row>
    <row r="230" spans="1:26" ht="18" hidden="1" customHeight="1" x14ac:dyDescent="0.2">
      <c r="A230" s="46">
        <v>43081</v>
      </c>
      <c r="B230" s="47" t="s">
        <v>97</v>
      </c>
      <c r="C230" s="48">
        <f t="shared" si="61"/>
        <v>2098</v>
      </c>
      <c r="D230" s="99">
        <f t="shared" si="53"/>
        <v>2024</v>
      </c>
      <c r="E230" s="45">
        <f t="shared" si="54"/>
        <v>1032.9999999999836</v>
      </c>
      <c r="F230" s="45">
        <f t="shared" si="62"/>
        <v>109</v>
      </c>
      <c r="G230" s="79">
        <f t="shared" si="63"/>
        <v>5263.9999999999836</v>
      </c>
      <c r="H230" s="77">
        <v>4314</v>
      </c>
      <c r="I230" s="77">
        <v>1276</v>
      </c>
      <c r="J230" s="80">
        <f t="shared" si="57"/>
        <v>5590</v>
      </c>
      <c r="K230" s="81">
        <f t="shared" si="49"/>
        <v>326.00000000001637</v>
      </c>
      <c r="L230" s="43"/>
      <c r="N230" s="52">
        <v>60317</v>
      </c>
      <c r="O230" s="52">
        <v>50311</v>
      </c>
      <c r="P230" s="52">
        <v>1563</v>
      </c>
      <c r="Q230" s="52"/>
      <c r="R230" s="52">
        <v>17157</v>
      </c>
      <c r="S230" s="95">
        <v>1488.2</v>
      </c>
      <c r="T230" s="95"/>
      <c r="U230" s="95"/>
      <c r="V230" s="52">
        <v>108572</v>
      </c>
      <c r="W230" s="52">
        <v>97298</v>
      </c>
      <c r="X230" s="52">
        <v>60472</v>
      </c>
      <c r="Y230" s="52">
        <v>92778</v>
      </c>
      <c r="Z230" s="52">
        <v>103191</v>
      </c>
    </row>
    <row r="231" spans="1:26" ht="18" hidden="1" customHeight="1" x14ac:dyDescent="0.2">
      <c r="A231" s="46">
        <v>43082</v>
      </c>
      <c r="B231" s="47" t="s">
        <v>98</v>
      </c>
      <c r="C231" s="48">
        <f t="shared" si="61"/>
        <v>2354</v>
      </c>
      <c r="D231" s="99">
        <f t="shared" si="53"/>
        <v>2784</v>
      </c>
      <c r="E231" s="45">
        <f t="shared" si="54"/>
        <v>1045</v>
      </c>
      <c r="F231" s="45">
        <f t="shared" si="62"/>
        <v>110</v>
      </c>
      <c r="G231" s="79">
        <f t="shared" si="63"/>
        <v>6293</v>
      </c>
      <c r="H231" s="77">
        <v>4429</v>
      </c>
      <c r="I231" s="77">
        <v>1100</v>
      </c>
      <c r="J231" s="80">
        <f t="shared" si="57"/>
        <v>5529</v>
      </c>
      <c r="K231" s="81">
        <f t="shared" si="49"/>
        <v>-764</v>
      </c>
      <c r="L231" s="43"/>
      <c r="N231" s="52">
        <v>60557</v>
      </c>
      <c r="O231" s="52">
        <v>50404</v>
      </c>
      <c r="P231" s="52">
        <v>1576</v>
      </c>
      <c r="Q231" s="52"/>
      <c r="R231" s="52">
        <v>17182</v>
      </c>
      <c r="S231" s="95">
        <v>1496.6</v>
      </c>
      <c r="T231" s="95"/>
      <c r="U231" s="95"/>
      <c r="V231" s="52">
        <v>108754</v>
      </c>
      <c r="W231" s="52">
        <v>97332</v>
      </c>
      <c r="X231" s="52">
        <v>60541</v>
      </c>
      <c r="Y231" s="52">
        <v>92778</v>
      </c>
      <c r="Z231" s="52">
        <v>103300</v>
      </c>
    </row>
    <row r="232" spans="1:26" ht="18" hidden="1" customHeight="1" x14ac:dyDescent="0.2">
      <c r="A232" s="46">
        <v>43083</v>
      </c>
      <c r="B232" s="47" t="s">
        <v>99</v>
      </c>
      <c r="C232" s="48">
        <f t="shared" si="61"/>
        <v>2054</v>
      </c>
      <c r="D232" s="99">
        <f t="shared" si="53"/>
        <v>1040</v>
      </c>
      <c r="E232" s="45">
        <f t="shared" si="54"/>
        <v>1044</v>
      </c>
      <c r="F232" s="45">
        <f t="shared" si="62"/>
        <v>108</v>
      </c>
      <c r="G232" s="79">
        <f t="shared" si="63"/>
        <v>4246</v>
      </c>
      <c r="H232" s="77">
        <v>4182</v>
      </c>
      <c r="I232" s="77">
        <v>1105</v>
      </c>
      <c r="J232" s="80">
        <f t="shared" si="57"/>
        <v>5287</v>
      </c>
      <c r="K232" s="81">
        <f t="shared" si="49"/>
        <v>1041</v>
      </c>
      <c r="L232" s="43"/>
      <c r="N232" s="52">
        <v>60897</v>
      </c>
      <c r="O232" s="52">
        <v>50491</v>
      </c>
      <c r="P232" s="52">
        <v>1584</v>
      </c>
      <c r="Q232" s="52"/>
      <c r="R232" s="52">
        <v>17207</v>
      </c>
      <c r="S232" s="95">
        <v>1505.1</v>
      </c>
      <c r="T232" s="95"/>
      <c r="U232" s="95"/>
      <c r="V232" s="52">
        <v>108960</v>
      </c>
      <c r="W232" s="52">
        <v>97365</v>
      </c>
      <c r="X232" s="52">
        <v>60632</v>
      </c>
      <c r="Y232" s="52">
        <v>92778</v>
      </c>
      <c r="Z232" s="52">
        <v>103410</v>
      </c>
    </row>
    <row r="233" spans="1:26" ht="18" hidden="1" customHeight="1" x14ac:dyDescent="0.2">
      <c r="A233" s="46">
        <v>43084</v>
      </c>
      <c r="B233" s="47" t="s">
        <v>100</v>
      </c>
      <c r="C233" s="48">
        <f t="shared" si="61"/>
        <v>0</v>
      </c>
      <c r="D233" s="99">
        <f t="shared" si="53"/>
        <v>0</v>
      </c>
      <c r="E233" s="45">
        <f t="shared" si="54"/>
        <v>0</v>
      </c>
      <c r="F233" s="45">
        <f t="shared" si="62"/>
        <v>0</v>
      </c>
      <c r="G233" s="79">
        <f t="shared" si="63"/>
        <v>0</v>
      </c>
      <c r="H233" s="77">
        <v>4087</v>
      </c>
      <c r="I233" s="77">
        <v>1011</v>
      </c>
      <c r="J233" s="80">
        <f t="shared" si="57"/>
        <v>5098</v>
      </c>
      <c r="K233" s="81"/>
      <c r="L233" s="43"/>
      <c r="N233" s="52">
        <v>61017</v>
      </c>
      <c r="O233" s="52">
        <v>50571</v>
      </c>
      <c r="P233" s="52">
        <v>1594</v>
      </c>
      <c r="Q233" s="52"/>
      <c r="R233" s="52">
        <v>17231</v>
      </c>
      <c r="S233" s="95">
        <v>1513.6</v>
      </c>
      <c r="T233" s="95"/>
      <c r="U233" s="95"/>
      <c r="V233" s="52">
        <v>109134</v>
      </c>
      <c r="W233" s="52">
        <v>97396</v>
      </c>
      <c r="X233" s="52">
        <v>60706</v>
      </c>
      <c r="Y233" s="52">
        <v>92778</v>
      </c>
      <c r="Z233" s="52">
        <v>103518</v>
      </c>
    </row>
    <row r="234" spans="1:26" ht="18" hidden="1" customHeight="1" x14ac:dyDescent="0.2">
      <c r="A234" s="46">
        <v>43085</v>
      </c>
      <c r="B234" s="47" t="s">
        <v>101</v>
      </c>
      <c r="C234" s="48">
        <f t="shared" si="61"/>
        <v>0</v>
      </c>
      <c r="D234" s="99">
        <f t="shared" si="53"/>
        <v>0</v>
      </c>
      <c r="E234" s="45">
        <f t="shared" si="54"/>
        <v>0</v>
      </c>
      <c r="F234" s="45">
        <f t="shared" si="62"/>
        <v>0</v>
      </c>
      <c r="G234" s="79">
        <f t="shared" si="63"/>
        <v>0</v>
      </c>
      <c r="H234" s="77">
        <v>0</v>
      </c>
      <c r="I234" s="77">
        <v>3381</v>
      </c>
      <c r="J234" s="80">
        <f t="shared" si="57"/>
        <v>3381</v>
      </c>
      <c r="K234" s="81"/>
      <c r="L234" s="43"/>
      <c r="N234" s="55">
        <v>61017</v>
      </c>
      <c r="O234" s="55">
        <v>50571</v>
      </c>
      <c r="P234" s="55">
        <v>1594</v>
      </c>
      <c r="Q234" s="55"/>
      <c r="R234" s="55">
        <v>17231</v>
      </c>
      <c r="S234" s="96">
        <v>1513.6</v>
      </c>
      <c r="T234" s="96"/>
      <c r="U234" s="96"/>
      <c r="V234" s="55">
        <v>109134</v>
      </c>
      <c r="W234" s="55">
        <v>97396</v>
      </c>
      <c r="X234" s="55">
        <v>60706</v>
      </c>
      <c r="Y234" s="55">
        <v>92778</v>
      </c>
      <c r="Z234" s="55">
        <v>103518</v>
      </c>
    </row>
    <row r="235" spans="1:26" ht="18" hidden="1" customHeight="1" x14ac:dyDescent="0.2">
      <c r="A235" s="46">
        <v>43086</v>
      </c>
      <c r="B235" s="47" t="s">
        <v>95</v>
      </c>
      <c r="C235" s="48">
        <f t="shared" ref="C235:C242" si="64">(V236-V235)*1+(W236-W235)*32+(X236-X235)*12+(Y236-Y235)*6</f>
        <v>3032</v>
      </c>
      <c r="D235" s="99">
        <f t="shared" si="53"/>
        <v>4696</v>
      </c>
      <c r="E235" s="45">
        <f t="shared" si="54"/>
        <v>3183.0000000000218</v>
      </c>
      <c r="F235" s="45">
        <f t="shared" ref="F235:F242" si="65">(Z236-Z235)*1</f>
        <v>310</v>
      </c>
      <c r="G235" s="79">
        <f t="shared" ref="G235:G242" si="66">C235+D235+F235+E235</f>
        <v>11221.000000000022</v>
      </c>
      <c r="H235" s="77">
        <v>0</v>
      </c>
      <c r="I235" s="77">
        <v>3338</v>
      </c>
      <c r="J235" s="80">
        <f t="shared" si="57"/>
        <v>3338</v>
      </c>
      <c r="K235" s="81">
        <f>J233+J234+J235-G235</f>
        <v>595.99999999997817</v>
      </c>
      <c r="L235" s="43"/>
      <c r="N235" s="55">
        <v>61017</v>
      </c>
      <c r="O235" s="55">
        <v>50571</v>
      </c>
      <c r="P235" s="55">
        <v>1594</v>
      </c>
      <c r="Q235" s="55"/>
      <c r="R235" s="55">
        <v>17231</v>
      </c>
      <c r="S235" s="96">
        <v>1513.6</v>
      </c>
      <c r="T235" s="96"/>
      <c r="U235" s="96"/>
      <c r="V235" s="55">
        <v>109134</v>
      </c>
      <c r="W235" s="55">
        <v>97396</v>
      </c>
      <c r="X235" s="55">
        <v>60706</v>
      </c>
      <c r="Y235" s="55">
        <v>92778</v>
      </c>
      <c r="Z235" s="55">
        <v>103518</v>
      </c>
    </row>
    <row r="236" spans="1:26" ht="18" hidden="1" customHeight="1" x14ac:dyDescent="0.2">
      <c r="A236" s="46">
        <v>43087</v>
      </c>
      <c r="B236" s="47" t="s">
        <v>96</v>
      </c>
      <c r="C236" s="48">
        <f t="shared" si="64"/>
        <v>2110</v>
      </c>
      <c r="D236" s="99">
        <f t="shared" si="53"/>
        <v>1992</v>
      </c>
      <c r="E236" s="45">
        <f t="shared" si="54"/>
        <v>1324.9999999999945</v>
      </c>
      <c r="F236" s="45">
        <f t="shared" si="65"/>
        <v>112</v>
      </c>
      <c r="G236" s="79">
        <f t="shared" si="66"/>
        <v>5538.9999999999945</v>
      </c>
      <c r="H236" s="77">
        <v>4298</v>
      </c>
      <c r="I236" s="77">
        <v>939</v>
      </c>
      <c r="J236" s="80">
        <f t="shared" si="57"/>
        <v>5237</v>
      </c>
      <c r="K236" s="81">
        <f t="shared" si="49"/>
        <v>-301.99999999999454</v>
      </c>
      <c r="L236" s="43"/>
      <c r="N236" s="52">
        <v>61577</v>
      </c>
      <c r="O236" s="52">
        <v>50780</v>
      </c>
      <c r="P236" s="52">
        <v>1621</v>
      </c>
      <c r="Q236" s="52"/>
      <c r="R236" s="52">
        <v>17318</v>
      </c>
      <c r="S236" s="95">
        <v>1539.4</v>
      </c>
      <c r="T236" s="95"/>
      <c r="U236" s="95"/>
      <c r="V236" s="52">
        <v>109610</v>
      </c>
      <c r="W236" s="52">
        <v>97447</v>
      </c>
      <c r="X236" s="52">
        <v>60783</v>
      </c>
      <c r="Y236" s="52">
        <v>92778</v>
      </c>
      <c r="Z236" s="52">
        <v>103828</v>
      </c>
    </row>
    <row r="237" spans="1:26" ht="18" hidden="1" customHeight="1" x14ac:dyDescent="0.2">
      <c r="A237" s="46">
        <v>43088</v>
      </c>
      <c r="B237" s="47" t="s">
        <v>97</v>
      </c>
      <c r="C237" s="48">
        <f t="shared" si="64"/>
        <v>1843</v>
      </c>
      <c r="D237" s="99">
        <f t="shared" si="53"/>
        <v>1976</v>
      </c>
      <c r="E237" s="45">
        <f t="shared" si="54"/>
        <v>1193.9999999999945</v>
      </c>
      <c r="F237" s="45">
        <f t="shared" si="65"/>
        <v>122</v>
      </c>
      <c r="G237" s="79">
        <f t="shared" si="66"/>
        <v>5134.9999999999945</v>
      </c>
      <c r="H237" s="77">
        <v>4220</v>
      </c>
      <c r="I237" s="77">
        <v>1302</v>
      </c>
      <c r="J237" s="80">
        <f t="shared" si="57"/>
        <v>5522</v>
      </c>
      <c r="K237" s="81">
        <f t="shared" si="49"/>
        <v>387.00000000000546</v>
      </c>
      <c r="L237" s="43"/>
      <c r="N237" s="52">
        <v>61817</v>
      </c>
      <c r="O237" s="52">
        <v>50871</v>
      </c>
      <c r="P237" s="52">
        <v>1630</v>
      </c>
      <c r="Q237" s="52"/>
      <c r="R237" s="52">
        <v>17347</v>
      </c>
      <c r="S237" s="95">
        <v>1550.2</v>
      </c>
      <c r="T237" s="95"/>
      <c r="U237" s="95"/>
      <c r="V237" s="52">
        <v>109788</v>
      </c>
      <c r="W237" s="52">
        <v>97480</v>
      </c>
      <c r="X237" s="52">
        <v>60856</v>
      </c>
      <c r="Y237" s="52">
        <v>92778</v>
      </c>
      <c r="Z237" s="52">
        <v>103940</v>
      </c>
    </row>
    <row r="238" spans="1:26" ht="18" hidden="1" customHeight="1" x14ac:dyDescent="0.2">
      <c r="A238" s="46">
        <v>43089</v>
      </c>
      <c r="B238" s="47" t="s">
        <v>98</v>
      </c>
      <c r="C238" s="48">
        <f t="shared" si="64"/>
        <v>1962</v>
      </c>
      <c r="D238" s="99">
        <f t="shared" si="53"/>
        <v>1832</v>
      </c>
      <c r="E238" s="45">
        <f t="shared" si="54"/>
        <v>1036</v>
      </c>
      <c r="F238" s="45">
        <f t="shared" si="65"/>
        <v>117</v>
      </c>
      <c r="G238" s="79">
        <f t="shared" si="66"/>
        <v>4947</v>
      </c>
      <c r="H238" s="77">
        <v>4043</v>
      </c>
      <c r="I238" s="77">
        <v>1054</v>
      </c>
      <c r="J238" s="80">
        <f t="shared" si="57"/>
        <v>5097</v>
      </c>
      <c r="K238" s="81">
        <f t="shared" si="49"/>
        <v>150</v>
      </c>
      <c r="L238" s="43"/>
      <c r="N238" s="52">
        <v>62047</v>
      </c>
      <c r="O238" s="52">
        <v>50957</v>
      </c>
      <c r="P238" s="52">
        <v>1647</v>
      </c>
      <c r="Q238" s="52"/>
      <c r="R238" s="52">
        <v>17365</v>
      </c>
      <c r="S238" s="95">
        <v>1560</v>
      </c>
      <c r="T238" s="95"/>
      <c r="U238" s="95"/>
      <c r="V238" s="52">
        <v>109967</v>
      </c>
      <c r="W238" s="52">
        <v>97508</v>
      </c>
      <c r="X238" s="52">
        <v>60920</v>
      </c>
      <c r="Y238" s="52">
        <v>92778</v>
      </c>
      <c r="Z238" s="52">
        <v>104062</v>
      </c>
    </row>
    <row r="239" spans="1:26" ht="18" hidden="1" customHeight="1" x14ac:dyDescent="0.2">
      <c r="A239" s="46">
        <v>43090</v>
      </c>
      <c r="B239" s="47" t="s">
        <v>99</v>
      </c>
      <c r="C239" s="48">
        <f t="shared" si="64"/>
        <v>1933</v>
      </c>
      <c r="D239" s="99">
        <f t="shared" si="53"/>
        <v>1752</v>
      </c>
      <c r="E239" s="45">
        <f t="shared" si="54"/>
        <v>1177.9999999999891</v>
      </c>
      <c r="F239" s="45">
        <f t="shared" si="65"/>
        <v>116</v>
      </c>
      <c r="G239" s="79">
        <f t="shared" si="66"/>
        <v>4978.9999999999891</v>
      </c>
      <c r="H239" s="77">
        <v>3946</v>
      </c>
      <c r="I239" s="77">
        <v>1037</v>
      </c>
      <c r="J239" s="80">
        <f t="shared" si="57"/>
        <v>4983</v>
      </c>
      <c r="K239" s="81">
        <f t="shared" si="49"/>
        <v>4.0000000000109139</v>
      </c>
      <c r="L239" s="43"/>
      <c r="N239" s="52">
        <v>62267</v>
      </c>
      <c r="O239" s="52">
        <v>51040</v>
      </c>
      <c r="P239" s="52">
        <v>1656</v>
      </c>
      <c r="Q239" s="52"/>
      <c r="R239" s="52">
        <v>17381</v>
      </c>
      <c r="S239" s="95">
        <v>1568.5</v>
      </c>
      <c r="T239" s="95"/>
      <c r="U239" s="95"/>
      <c r="V239" s="52">
        <v>110137</v>
      </c>
      <c r="W239" s="52">
        <v>97537</v>
      </c>
      <c r="X239" s="52">
        <v>60992</v>
      </c>
      <c r="Y239" s="52">
        <v>92778</v>
      </c>
      <c r="Z239" s="52">
        <v>104179</v>
      </c>
    </row>
    <row r="240" spans="1:26" ht="18" hidden="1" customHeight="1" x14ac:dyDescent="0.2">
      <c r="A240" s="46">
        <v>43091</v>
      </c>
      <c r="B240" s="47" t="s">
        <v>100</v>
      </c>
      <c r="C240" s="48">
        <f t="shared" si="64"/>
        <v>0</v>
      </c>
      <c r="D240" s="99">
        <f t="shared" si="53"/>
        <v>0</v>
      </c>
      <c r="E240" s="45">
        <f t="shared" si="54"/>
        <v>0</v>
      </c>
      <c r="F240" s="45">
        <f t="shared" si="65"/>
        <v>0</v>
      </c>
      <c r="G240" s="79">
        <f t="shared" si="66"/>
        <v>0</v>
      </c>
      <c r="H240" s="77">
        <v>4022</v>
      </c>
      <c r="I240" s="77">
        <v>1023</v>
      </c>
      <c r="J240" s="80">
        <f t="shared" si="57"/>
        <v>5045</v>
      </c>
      <c r="K240" s="81"/>
      <c r="L240" s="43"/>
      <c r="N240" s="52">
        <v>62477</v>
      </c>
      <c r="O240" s="52">
        <v>51226</v>
      </c>
      <c r="P240" s="52">
        <v>1665</v>
      </c>
      <c r="Q240" s="52"/>
      <c r="R240" s="52">
        <v>17347</v>
      </c>
      <c r="S240" s="95">
        <v>1578.6</v>
      </c>
      <c r="T240" s="95"/>
      <c r="U240" s="95"/>
      <c r="V240" s="52">
        <v>110318</v>
      </c>
      <c r="W240" s="52">
        <v>97567</v>
      </c>
      <c r="X240" s="52">
        <v>61058</v>
      </c>
      <c r="Y240" s="52">
        <v>92778</v>
      </c>
      <c r="Z240" s="52">
        <v>104295</v>
      </c>
    </row>
    <row r="241" spans="1:26" ht="18" hidden="1" customHeight="1" x14ac:dyDescent="0.2">
      <c r="A241" s="46">
        <v>43092</v>
      </c>
      <c r="B241" s="47" t="s">
        <v>101</v>
      </c>
      <c r="C241" s="48">
        <f t="shared" si="64"/>
        <v>0</v>
      </c>
      <c r="D241" s="99">
        <f t="shared" si="53"/>
        <v>0</v>
      </c>
      <c r="E241" s="45">
        <f t="shared" si="54"/>
        <v>0</v>
      </c>
      <c r="F241" s="45">
        <f t="shared" si="65"/>
        <v>0</v>
      </c>
      <c r="G241" s="79">
        <f t="shared" si="66"/>
        <v>0</v>
      </c>
      <c r="H241" s="77">
        <v>0</v>
      </c>
      <c r="I241" s="77">
        <v>2916</v>
      </c>
      <c r="J241" s="80">
        <f t="shared" si="57"/>
        <v>2916</v>
      </c>
      <c r="K241" s="81"/>
      <c r="L241" s="43"/>
      <c r="N241" s="55">
        <v>62477</v>
      </c>
      <c r="O241" s="55">
        <v>51226</v>
      </c>
      <c r="P241" s="55">
        <v>1665</v>
      </c>
      <c r="Q241" s="55"/>
      <c r="R241" s="55">
        <v>17347</v>
      </c>
      <c r="S241" s="96">
        <v>1578.6</v>
      </c>
      <c r="T241" s="96"/>
      <c r="U241" s="96"/>
      <c r="V241" s="55">
        <v>110318</v>
      </c>
      <c r="W241" s="55">
        <v>97567</v>
      </c>
      <c r="X241" s="55">
        <v>61058</v>
      </c>
      <c r="Y241" s="55">
        <v>92778</v>
      </c>
      <c r="Z241" s="55">
        <v>104295</v>
      </c>
    </row>
    <row r="242" spans="1:26" ht="18" hidden="1" customHeight="1" x14ac:dyDescent="0.2">
      <c r="A242" s="46">
        <v>43093</v>
      </c>
      <c r="B242" s="47" t="s">
        <v>95</v>
      </c>
      <c r="C242" s="48">
        <f t="shared" si="64"/>
        <v>3051</v>
      </c>
      <c r="D242" s="99">
        <f t="shared" si="53"/>
        <v>4312</v>
      </c>
      <c r="E242" s="45">
        <f t="shared" si="54"/>
        <v>3079.0000000000218</v>
      </c>
      <c r="F242" s="45">
        <f t="shared" si="65"/>
        <v>339</v>
      </c>
      <c r="G242" s="79">
        <f t="shared" si="66"/>
        <v>10781.000000000022</v>
      </c>
      <c r="H242" s="77">
        <v>0</v>
      </c>
      <c r="I242" s="77">
        <v>3274</v>
      </c>
      <c r="J242" s="80">
        <f t="shared" si="57"/>
        <v>3274</v>
      </c>
      <c r="K242" s="81">
        <f>J240+J241+J242-G242</f>
        <v>453.99999999997817</v>
      </c>
      <c r="L242" s="43"/>
      <c r="N242" s="55">
        <v>62477</v>
      </c>
      <c r="O242" s="55">
        <v>51226</v>
      </c>
      <c r="P242" s="55">
        <v>1665</v>
      </c>
      <c r="Q242" s="55"/>
      <c r="R242" s="55">
        <v>17347</v>
      </c>
      <c r="S242" s="96">
        <v>1578.6</v>
      </c>
      <c r="T242" s="96"/>
      <c r="U242" s="96"/>
      <c r="V242" s="55">
        <v>110318</v>
      </c>
      <c r="W242" s="55">
        <v>97567</v>
      </c>
      <c r="X242" s="55">
        <v>61058</v>
      </c>
      <c r="Y242" s="55">
        <v>92778</v>
      </c>
      <c r="Z242" s="55">
        <v>104295</v>
      </c>
    </row>
    <row r="243" spans="1:26" ht="18" hidden="1" customHeight="1" x14ac:dyDescent="0.2">
      <c r="A243" s="46">
        <v>43094</v>
      </c>
      <c r="B243" s="47" t="s">
        <v>96</v>
      </c>
      <c r="C243" s="48">
        <f t="shared" ref="C243:C253" si="67">(V244-V243)*1+(W244-W243)*32+(X244-X243)*12+(Y244-Y243)*6</f>
        <v>2081</v>
      </c>
      <c r="D243" s="99">
        <f t="shared" si="53"/>
        <v>1824</v>
      </c>
      <c r="E243" s="45">
        <f t="shared" si="54"/>
        <v>1228.9999999999891</v>
      </c>
      <c r="F243" s="45">
        <f t="shared" ref="F243:F253" si="68">(Z244-Z243)*1</f>
        <v>118</v>
      </c>
      <c r="G243" s="79">
        <f t="shared" ref="G243:G276" si="69">C243+D243+F243+E243</f>
        <v>5251.9999999999891</v>
      </c>
      <c r="H243" s="77">
        <v>4514</v>
      </c>
      <c r="I243" s="77">
        <v>1028</v>
      </c>
      <c r="J243" s="80">
        <f t="shared" si="57"/>
        <v>5542</v>
      </c>
      <c r="K243" s="81">
        <f t="shared" si="49"/>
        <v>290.00000000001091</v>
      </c>
      <c r="L243" s="43"/>
      <c r="N243" s="52">
        <v>62987</v>
      </c>
      <c r="O243" s="52">
        <v>51307</v>
      </c>
      <c r="P243" s="52">
        <v>1694</v>
      </c>
      <c r="Q243" s="52"/>
      <c r="R243" s="52">
        <v>17450</v>
      </c>
      <c r="S243" s="95">
        <v>1603.4</v>
      </c>
      <c r="T243" s="95"/>
      <c r="U243" s="95"/>
      <c r="V243" s="52">
        <v>110789</v>
      </c>
      <c r="W243" s="52">
        <v>97621</v>
      </c>
      <c r="X243" s="52">
        <v>61129</v>
      </c>
      <c r="Y243" s="52">
        <v>92778</v>
      </c>
      <c r="Z243" s="52">
        <v>104634</v>
      </c>
    </row>
    <row r="244" spans="1:26" ht="18" hidden="1" customHeight="1" x14ac:dyDescent="0.2">
      <c r="A244" s="46">
        <v>43095</v>
      </c>
      <c r="B244" s="47" t="s">
        <v>97</v>
      </c>
      <c r="C244" s="48">
        <f t="shared" si="67"/>
        <v>2325</v>
      </c>
      <c r="D244" s="99">
        <f t="shared" si="53"/>
        <v>1840</v>
      </c>
      <c r="E244" s="45">
        <f t="shared" si="54"/>
        <v>978</v>
      </c>
      <c r="F244" s="45">
        <f t="shared" si="68"/>
        <v>116</v>
      </c>
      <c r="G244" s="79">
        <f t="shared" si="69"/>
        <v>5259</v>
      </c>
      <c r="H244" s="77">
        <v>4273</v>
      </c>
      <c r="I244" s="77">
        <v>1023</v>
      </c>
      <c r="J244" s="80">
        <f t="shared" si="57"/>
        <v>5296</v>
      </c>
      <c r="K244" s="81">
        <f t="shared" si="49"/>
        <v>37</v>
      </c>
      <c r="L244" s="43"/>
      <c r="N244" s="52">
        <v>63207</v>
      </c>
      <c r="O244" s="52">
        <v>51389</v>
      </c>
      <c r="P244" s="52">
        <v>1702</v>
      </c>
      <c r="Q244" s="52"/>
      <c r="R244" s="52">
        <v>17467</v>
      </c>
      <c r="S244" s="95">
        <v>1613.5</v>
      </c>
      <c r="T244" s="95"/>
      <c r="U244" s="95"/>
      <c r="V244" s="52">
        <v>110962</v>
      </c>
      <c r="W244" s="52">
        <v>97654</v>
      </c>
      <c r="X244" s="52">
        <v>61200</v>
      </c>
      <c r="Y244" s="52">
        <v>92778</v>
      </c>
      <c r="Z244" s="52">
        <v>104752</v>
      </c>
    </row>
    <row r="245" spans="1:26" ht="18" hidden="1" customHeight="1" x14ac:dyDescent="0.2">
      <c r="A245" s="46">
        <v>43096</v>
      </c>
      <c r="B245" s="47" t="s">
        <v>98</v>
      </c>
      <c r="C245" s="48">
        <f t="shared" si="67"/>
        <v>2128</v>
      </c>
      <c r="D245" s="99">
        <f t="shared" si="53"/>
        <v>1936</v>
      </c>
      <c r="E245" s="45">
        <f t="shared" si="54"/>
        <v>1143.0000000000109</v>
      </c>
      <c r="F245" s="45">
        <f t="shared" si="68"/>
        <v>116</v>
      </c>
      <c r="G245" s="79">
        <f t="shared" si="69"/>
        <v>5323.0000000000109</v>
      </c>
      <c r="H245" s="77">
        <v>4384</v>
      </c>
      <c r="I245" s="77">
        <v>1064</v>
      </c>
      <c r="J245" s="80">
        <f t="shared" si="57"/>
        <v>5448</v>
      </c>
      <c r="K245" s="81">
        <f t="shared" si="49"/>
        <v>124.99999999998909</v>
      </c>
      <c r="L245" s="43"/>
      <c r="N245" s="52">
        <v>63427</v>
      </c>
      <c r="O245" s="52">
        <v>51475</v>
      </c>
      <c r="P245" s="52">
        <v>1712</v>
      </c>
      <c r="Q245" s="52"/>
      <c r="R245" s="52">
        <v>17485</v>
      </c>
      <c r="S245" s="95">
        <v>1621.5</v>
      </c>
      <c r="T245" s="95"/>
      <c r="U245" s="95"/>
      <c r="V245" s="52">
        <v>111139</v>
      </c>
      <c r="W245" s="52">
        <v>97687</v>
      </c>
      <c r="X245" s="52">
        <v>61291</v>
      </c>
      <c r="Y245" s="52">
        <v>92778</v>
      </c>
      <c r="Z245" s="52">
        <v>104868</v>
      </c>
    </row>
    <row r="246" spans="1:26" ht="18" hidden="1" customHeight="1" x14ac:dyDescent="0.2">
      <c r="A246" s="46">
        <v>43097</v>
      </c>
      <c r="B246" s="47" t="s">
        <v>99</v>
      </c>
      <c r="C246" s="48">
        <f t="shared" si="67"/>
        <v>2203</v>
      </c>
      <c r="D246" s="99">
        <f t="shared" si="53"/>
        <v>1856</v>
      </c>
      <c r="E246" s="45">
        <f t="shared" si="54"/>
        <v>963.99999999998363</v>
      </c>
      <c r="F246" s="45">
        <f t="shared" si="68"/>
        <v>118</v>
      </c>
      <c r="G246" s="79">
        <f t="shared" si="69"/>
        <v>5140.9999999999836</v>
      </c>
      <c r="H246" s="77">
        <v>4246</v>
      </c>
      <c r="I246" s="77">
        <v>1014</v>
      </c>
      <c r="J246" s="80">
        <f t="shared" si="57"/>
        <v>5260</v>
      </c>
      <c r="K246" s="81">
        <f t="shared" si="49"/>
        <v>119.00000000001637</v>
      </c>
      <c r="L246" s="43"/>
      <c r="N246" s="52">
        <v>63657</v>
      </c>
      <c r="O246" s="52">
        <v>51560</v>
      </c>
      <c r="P246" s="52">
        <v>1724</v>
      </c>
      <c r="Q246" s="52"/>
      <c r="R246" s="52">
        <v>17500</v>
      </c>
      <c r="S246" s="95">
        <v>1630.9</v>
      </c>
      <c r="T246" s="95"/>
      <c r="U246" s="95"/>
      <c r="V246" s="52">
        <v>111319</v>
      </c>
      <c r="W246" s="52">
        <v>97719</v>
      </c>
      <c r="X246" s="52">
        <v>61368</v>
      </c>
      <c r="Y246" s="52">
        <v>92778</v>
      </c>
      <c r="Z246" s="52">
        <v>104984</v>
      </c>
    </row>
    <row r="247" spans="1:26" ht="18" hidden="1" customHeight="1" x14ac:dyDescent="0.2">
      <c r="A247" s="46">
        <v>43098</v>
      </c>
      <c r="B247" s="47" t="s">
        <v>100</v>
      </c>
      <c r="C247" s="48">
        <f t="shared" si="67"/>
        <v>0</v>
      </c>
      <c r="D247" s="99">
        <f t="shared" si="53"/>
        <v>0</v>
      </c>
      <c r="E247" s="45">
        <f t="shared" si="54"/>
        <v>0</v>
      </c>
      <c r="F247" s="45">
        <f t="shared" si="68"/>
        <v>0</v>
      </c>
      <c r="G247" s="79">
        <f t="shared" si="69"/>
        <v>0</v>
      </c>
      <c r="H247" s="77">
        <v>4326</v>
      </c>
      <c r="I247" s="77">
        <v>1042</v>
      </c>
      <c r="J247" s="80">
        <f t="shared" si="57"/>
        <v>5368</v>
      </c>
      <c r="K247" s="81"/>
      <c r="L247" s="43"/>
      <c r="N247" s="52">
        <v>63877</v>
      </c>
      <c r="O247" s="52">
        <v>51645</v>
      </c>
      <c r="P247" s="52">
        <v>1736</v>
      </c>
      <c r="Q247" s="52"/>
      <c r="R247" s="52">
        <v>17516</v>
      </c>
      <c r="S247" s="95">
        <v>1638.8</v>
      </c>
      <c r="T247" s="95"/>
      <c r="U247" s="95"/>
      <c r="V247" s="52">
        <v>111502</v>
      </c>
      <c r="W247" s="52">
        <v>97751</v>
      </c>
      <c r="X247" s="52">
        <v>61451</v>
      </c>
      <c r="Y247" s="52">
        <v>92778</v>
      </c>
      <c r="Z247" s="52">
        <v>105102</v>
      </c>
    </row>
    <row r="248" spans="1:26" ht="18" hidden="1" customHeight="1" x14ac:dyDescent="0.2">
      <c r="A248" s="46">
        <v>43099</v>
      </c>
      <c r="B248" s="56" t="s">
        <v>103</v>
      </c>
      <c r="C248" s="48">
        <f t="shared" si="67"/>
        <v>0</v>
      </c>
      <c r="D248" s="99">
        <f t="shared" si="53"/>
        <v>0</v>
      </c>
      <c r="E248" s="45">
        <f t="shared" si="54"/>
        <v>0</v>
      </c>
      <c r="F248" s="45">
        <f t="shared" si="68"/>
        <v>0</v>
      </c>
      <c r="G248" s="79">
        <f t="shared" si="69"/>
        <v>0</v>
      </c>
      <c r="H248" s="77">
        <v>0</v>
      </c>
      <c r="I248" s="77">
        <v>4237</v>
      </c>
      <c r="J248" s="80">
        <f t="shared" si="57"/>
        <v>4237</v>
      </c>
      <c r="K248" s="81"/>
      <c r="L248" s="43"/>
      <c r="N248" s="55">
        <v>63877</v>
      </c>
      <c r="O248" s="55">
        <v>51645</v>
      </c>
      <c r="P248" s="55">
        <v>1736</v>
      </c>
      <c r="Q248" s="55"/>
      <c r="R248" s="55">
        <v>17516</v>
      </c>
      <c r="S248" s="96">
        <v>1638.8</v>
      </c>
      <c r="T248" s="96"/>
      <c r="U248" s="96"/>
      <c r="V248" s="55">
        <v>111502</v>
      </c>
      <c r="W248" s="55">
        <v>97751</v>
      </c>
      <c r="X248" s="55">
        <v>61451</v>
      </c>
      <c r="Y248" s="55">
        <v>92778</v>
      </c>
      <c r="Z248" s="55">
        <v>105102</v>
      </c>
    </row>
    <row r="249" spans="1:26" ht="18" hidden="1" customHeight="1" x14ac:dyDescent="0.2">
      <c r="A249" s="46">
        <v>43100</v>
      </c>
      <c r="B249" s="56" t="s">
        <v>104</v>
      </c>
      <c r="C249" s="48">
        <f t="shared" si="67"/>
        <v>4269</v>
      </c>
      <c r="D249" s="99">
        <f t="shared" si="53"/>
        <v>5640</v>
      </c>
      <c r="E249" s="45">
        <f t="shared" si="54"/>
        <v>3501.0000000000055</v>
      </c>
      <c r="F249" s="45">
        <f t="shared" si="68"/>
        <v>453</v>
      </c>
      <c r="G249" s="79">
        <f t="shared" si="69"/>
        <v>13863.000000000005</v>
      </c>
      <c r="H249" s="77">
        <v>0</v>
      </c>
      <c r="I249" s="77">
        <v>3763</v>
      </c>
      <c r="J249" s="80">
        <f t="shared" si="57"/>
        <v>3763</v>
      </c>
      <c r="K249" s="81">
        <f>J247+J248+J249-G249</f>
        <v>-495.00000000000546</v>
      </c>
      <c r="L249" s="43"/>
      <c r="N249" s="55">
        <v>63877</v>
      </c>
      <c r="O249" s="55">
        <v>51645</v>
      </c>
      <c r="P249" s="55">
        <v>1736</v>
      </c>
      <c r="Q249" s="55"/>
      <c r="R249" s="55">
        <v>17516</v>
      </c>
      <c r="S249" s="96">
        <v>1638.8</v>
      </c>
      <c r="T249" s="96"/>
      <c r="U249" s="96"/>
      <c r="V249" s="55">
        <v>111502</v>
      </c>
      <c r="W249" s="55">
        <v>97751</v>
      </c>
      <c r="X249" s="55">
        <v>61451</v>
      </c>
      <c r="Y249" s="55">
        <v>92778</v>
      </c>
      <c r="Z249" s="55">
        <v>105102</v>
      </c>
    </row>
    <row r="250" spans="1:26" ht="18" hidden="1" customHeight="1" x14ac:dyDescent="0.2">
      <c r="A250" s="46">
        <v>43101</v>
      </c>
      <c r="B250" s="47" t="s">
        <v>96</v>
      </c>
      <c r="C250" s="48">
        <f t="shared" si="67"/>
        <v>0</v>
      </c>
      <c r="D250" s="99">
        <f t="shared" si="53"/>
        <v>1856</v>
      </c>
      <c r="E250" s="45">
        <f t="shared" si="54"/>
        <v>964.00000000001091</v>
      </c>
      <c r="F250" s="45">
        <f t="shared" si="68"/>
        <v>0</v>
      </c>
      <c r="G250" s="79">
        <f t="shared" si="69"/>
        <v>2820.0000000000109</v>
      </c>
      <c r="H250" s="77">
        <v>0</v>
      </c>
      <c r="I250" s="77">
        <v>3878</v>
      </c>
      <c r="J250" s="80">
        <f>H250+I250</f>
        <v>3878</v>
      </c>
      <c r="K250" s="81">
        <f t="shared" si="49"/>
        <v>1057.9999999999891</v>
      </c>
      <c r="L250" s="43"/>
      <c r="N250" s="52">
        <v>64557</v>
      </c>
      <c r="O250" s="52">
        <v>51904</v>
      </c>
      <c r="P250" s="52">
        <v>1761</v>
      </c>
      <c r="Q250" s="52"/>
      <c r="R250" s="52">
        <v>17573</v>
      </c>
      <c r="S250" s="95">
        <v>1667.5</v>
      </c>
      <c r="T250" s="95"/>
      <c r="U250" s="95"/>
      <c r="V250" s="52">
        <v>112111</v>
      </c>
      <c r="W250" s="52">
        <v>97823</v>
      </c>
      <c r="X250" s="52">
        <v>61564</v>
      </c>
      <c r="Y250" s="52">
        <v>92778</v>
      </c>
      <c r="Z250" s="52">
        <v>105555</v>
      </c>
    </row>
    <row r="251" spans="1:26" ht="18" hidden="1" customHeight="1" x14ac:dyDescent="0.2">
      <c r="A251" s="46">
        <v>43102</v>
      </c>
      <c r="B251" s="47" t="s">
        <v>97</v>
      </c>
      <c r="C251" s="48">
        <f t="shared" si="67"/>
        <v>2208</v>
      </c>
      <c r="D251" s="99">
        <f t="shared" si="53"/>
        <v>1792</v>
      </c>
      <c r="E251" s="45">
        <f t="shared" si="54"/>
        <v>1036</v>
      </c>
      <c r="F251" s="45">
        <f t="shared" si="68"/>
        <v>85</v>
      </c>
      <c r="G251" s="79">
        <f t="shared" si="69"/>
        <v>5121</v>
      </c>
      <c r="H251" s="77">
        <v>4224</v>
      </c>
      <c r="I251" s="77">
        <v>1015</v>
      </c>
      <c r="J251" s="80">
        <f t="shared" ref="J251:J314" si="70">H251+I251</f>
        <v>5239</v>
      </c>
      <c r="K251" s="81">
        <f t="shared" si="49"/>
        <v>118</v>
      </c>
      <c r="L251" s="43"/>
      <c r="N251" s="52">
        <v>64777</v>
      </c>
      <c r="O251" s="52">
        <v>51989</v>
      </c>
      <c r="P251" s="52">
        <v>1773</v>
      </c>
      <c r="Q251" s="52"/>
      <c r="R251" s="52">
        <v>17589</v>
      </c>
      <c r="S251" s="95">
        <v>1675.4</v>
      </c>
      <c r="T251" s="95"/>
      <c r="U251" s="95"/>
      <c r="V251" s="52">
        <v>112111</v>
      </c>
      <c r="W251" s="52">
        <v>97823</v>
      </c>
      <c r="X251" s="52">
        <v>61564</v>
      </c>
      <c r="Y251" s="52">
        <v>92778</v>
      </c>
      <c r="Z251" s="52">
        <v>105555</v>
      </c>
    </row>
    <row r="252" spans="1:26" ht="18" hidden="1" customHeight="1" x14ac:dyDescent="0.2">
      <c r="A252" s="46">
        <v>43103</v>
      </c>
      <c r="B252" s="47" t="s">
        <v>98</v>
      </c>
      <c r="C252" s="48">
        <f t="shared" si="67"/>
        <v>2057</v>
      </c>
      <c r="D252" s="99">
        <f t="shared" si="53"/>
        <v>1776</v>
      </c>
      <c r="E252" s="45">
        <f t="shared" si="54"/>
        <v>987.99999999998909</v>
      </c>
      <c r="F252" s="45">
        <f t="shared" si="68"/>
        <v>116</v>
      </c>
      <c r="G252" s="79">
        <f t="shared" si="69"/>
        <v>4936.9999999999891</v>
      </c>
      <c r="H252" s="77">
        <v>4018</v>
      </c>
      <c r="I252" s="77">
        <v>1003</v>
      </c>
      <c r="J252" s="80">
        <f t="shared" si="70"/>
        <v>5021</v>
      </c>
      <c r="K252" s="81">
        <f t="shared" si="49"/>
        <v>84.000000000010914</v>
      </c>
      <c r="L252" s="43"/>
      <c r="N252" s="52">
        <v>64987</v>
      </c>
      <c r="O252" s="52">
        <v>52068</v>
      </c>
      <c r="P252" s="52">
        <v>1787</v>
      </c>
      <c r="Q252" s="52"/>
      <c r="R252" s="52">
        <v>17605</v>
      </c>
      <c r="S252" s="95">
        <v>1683.9</v>
      </c>
      <c r="T252" s="95"/>
      <c r="U252" s="95"/>
      <c r="V252" s="52">
        <v>112287</v>
      </c>
      <c r="W252" s="52">
        <v>97855</v>
      </c>
      <c r="X252" s="52">
        <v>61648</v>
      </c>
      <c r="Y252" s="52">
        <v>92778</v>
      </c>
      <c r="Z252" s="52">
        <v>105640</v>
      </c>
    </row>
    <row r="253" spans="1:26" ht="18" hidden="1" customHeight="1" x14ac:dyDescent="0.2">
      <c r="A253" s="46">
        <v>43104</v>
      </c>
      <c r="B253" s="47" t="s">
        <v>99</v>
      </c>
      <c r="C253" s="48">
        <f t="shared" si="67"/>
        <v>2029</v>
      </c>
      <c r="D253" s="99">
        <f t="shared" si="53"/>
        <v>1800</v>
      </c>
      <c r="E253" s="45">
        <f t="shared" si="54"/>
        <v>846.00000000001091</v>
      </c>
      <c r="F253" s="45">
        <f t="shared" si="68"/>
        <v>117</v>
      </c>
      <c r="G253" s="79">
        <f t="shared" si="69"/>
        <v>4792.0000000000109</v>
      </c>
      <c r="H253" s="77">
        <v>3932</v>
      </c>
      <c r="I253" s="77">
        <v>1011</v>
      </c>
      <c r="J253" s="80">
        <f t="shared" si="70"/>
        <v>4943</v>
      </c>
      <c r="K253" s="81">
        <f t="shared" si="49"/>
        <v>150.99999999998909</v>
      </c>
      <c r="L253" s="43"/>
      <c r="N253" s="52">
        <v>65207</v>
      </c>
      <c r="O253" s="52">
        <v>52150</v>
      </c>
      <c r="P253" s="52">
        <v>1789</v>
      </c>
      <c r="Q253" s="52"/>
      <c r="R253" s="52">
        <v>17621</v>
      </c>
      <c r="S253" s="95">
        <v>1692</v>
      </c>
      <c r="T253" s="95"/>
      <c r="U253" s="95"/>
      <c r="V253" s="52">
        <v>112460</v>
      </c>
      <c r="W253" s="52">
        <v>97885</v>
      </c>
      <c r="X253" s="52">
        <v>61725</v>
      </c>
      <c r="Y253" s="52">
        <v>92778</v>
      </c>
      <c r="Z253" s="52">
        <v>105756</v>
      </c>
    </row>
    <row r="254" spans="1:26" ht="18" hidden="1" customHeight="1" x14ac:dyDescent="0.2">
      <c r="A254" s="46">
        <v>43105</v>
      </c>
      <c r="B254" s="47" t="s">
        <v>100</v>
      </c>
      <c r="C254" s="48"/>
      <c r="D254" s="99">
        <v>0</v>
      </c>
      <c r="E254" s="45">
        <v>0</v>
      </c>
      <c r="F254" s="45">
        <v>0</v>
      </c>
      <c r="G254" s="79">
        <f t="shared" si="69"/>
        <v>0</v>
      </c>
      <c r="H254" s="77">
        <v>3804</v>
      </c>
      <c r="I254" s="77">
        <v>1011</v>
      </c>
      <c r="J254" s="80">
        <f t="shared" si="70"/>
        <v>4815</v>
      </c>
      <c r="K254" s="81">
        <f t="shared" si="49"/>
        <v>4815</v>
      </c>
      <c r="L254" s="43"/>
      <c r="N254" s="52">
        <v>65417</v>
      </c>
      <c r="O254" s="52">
        <v>52228</v>
      </c>
      <c r="P254" s="52">
        <v>1804</v>
      </c>
      <c r="Q254" s="52"/>
      <c r="R254" s="52">
        <v>17639</v>
      </c>
      <c r="S254" s="95">
        <v>1698.9</v>
      </c>
      <c r="T254" s="95"/>
      <c r="U254" s="95"/>
      <c r="V254" s="52">
        <v>112637</v>
      </c>
      <c r="W254" s="52">
        <v>97914</v>
      </c>
      <c r="X254" s="52">
        <v>61802</v>
      </c>
      <c r="Y254" s="52">
        <v>92778</v>
      </c>
      <c r="Z254" s="52">
        <v>105873</v>
      </c>
    </row>
    <row r="255" spans="1:26" ht="18" hidden="1" customHeight="1" x14ac:dyDescent="0.2">
      <c r="A255" s="46">
        <v>43106</v>
      </c>
      <c r="B255" s="47" t="s">
        <v>101</v>
      </c>
      <c r="C255" s="48"/>
      <c r="D255" s="99">
        <v>0</v>
      </c>
      <c r="E255" s="45">
        <v>0</v>
      </c>
      <c r="F255" s="45">
        <v>0</v>
      </c>
      <c r="G255" s="79">
        <f t="shared" si="69"/>
        <v>0</v>
      </c>
      <c r="H255" s="77"/>
      <c r="I255" s="77">
        <v>3574</v>
      </c>
      <c r="J255" s="80">
        <f t="shared" si="70"/>
        <v>3574</v>
      </c>
      <c r="K255" s="81">
        <f t="shared" si="49"/>
        <v>3574</v>
      </c>
      <c r="L255" s="43"/>
      <c r="N255" s="55">
        <v>65417</v>
      </c>
      <c r="O255" s="55">
        <v>52228</v>
      </c>
      <c r="P255" s="55">
        <v>1804</v>
      </c>
      <c r="Q255" s="55"/>
      <c r="R255" s="55">
        <v>17639</v>
      </c>
      <c r="S255" s="96">
        <v>1698.9</v>
      </c>
      <c r="T255" s="96"/>
      <c r="U255" s="96"/>
      <c r="V255" s="55">
        <v>112637</v>
      </c>
      <c r="W255" s="55">
        <v>97914</v>
      </c>
      <c r="X255" s="55">
        <v>61802</v>
      </c>
      <c r="Y255" s="55">
        <v>92778</v>
      </c>
      <c r="Z255" s="55">
        <v>105873</v>
      </c>
    </row>
    <row r="256" spans="1:26" ht="18" hidden="1" customHeight="1" x14ac:dyDescent="0.2">
      <c r="A256" s="46">
        <v>43107</v>
      </c>
      <c r="B256" s="47" t="s">
        <v>95</v>
      </c>
      <c r="C256" s="48">
        <f>(V257-V256)*1+(W257-W256)*32+(X257-X256)*12+(Y257-Y256)*6</f>
        <v>2838</v>
      </c>
      <c r="D256" s="99">
        <f>(N257-N256)*8+(P257-P256)*8</f>
        <v>5568</v>
      </c>
      <c r="E256" s="45">
        <f>(R257-R256)*1+(S257-S256)*120</f>
        <v>2677.9999999999836</v>
      </c>
      <c r="F256" s="45">
        <f>(Z257-Z256)*1</f>
        <v>361</v>
      </c>
      <c r="G256" s="79">
        <f t="shared" si="69"/>
        <v>11444.999999999984</v>
      </c>
      <c r="H256" s="77"/>
      <c r="I256" s="77">
        <v>3495</v>
      </c>
      <c r="J256" s="80">
        <f t="shared" si="70"/>
        <v>3495</v>
      </c>
      <c r="K256" s="81">
        <f t="shared" si="49"/>
        <v>-7949.9999999999836</v>
      </c>
      <c r="L256" s="43"/>
      <c r="N256" s="55">
        <v>65417</v>
      </c>
      <c r="O256" s="55">
        <v>52228</v>
      </c>
      <c r="P256" s="55">
        <v>1804</v>
      </c>
      <c r="Q256" s="55"/>
      <c r="R256" s="55">
        <v>17639</v>
      </c>
      <c r="S256" s="96">
        <v>1698.9</v>
      </c>
      <c r="T256" s="96"/>
      <c r="U256" s="96"/>
      <c r="V256" s="55">
        <v>112637</v>
      </c>
      <c r="W256" s="55">
        <v>97914</v>
      </c>
      <c r="X256" s="55">
        <v>61802</v>
      </c>
      <c r="Y256" s="55">
        <v>92778</v>
      </c>
      <c r="Z256" s="55">
        <v>105873</v>
      </c>
    </row>
    <row r="257" spans="1:26" ht="18" hidden="1" customHeight="1" x14ac:dyDescent="0.2">
      <c r="A257" s="46">
        <v>43108</v>
      </c>
      <c r="B257" s="47" t="s">
        <v>96</v>
      </c>
      <c r="C257" s="48">
        <f>(V258-V257)*1+(W258-W257)*32+(X258-X257)*12+(Y258-Y257)*6</f>
        <v>2170</v>
      </c>
      <c r="D257" s="99">
        <f>(N258-N257)*8+(P258-P257)*8</f>
        <v>1944</v>
      </c>
      <c r="E257" s="45">
        <f>(R258-R257)*1+(S258-S257)*120</f>
        <v>1038</v>
      </c>
      <c r="F257" s="45">
        <f>(Z258-Z257)*1</f>
        <v>129</v>
      </c>
      <c r="G257" s="79">
        <f t="shared" si="69"/>
        <v>5281</v>
      </c>
      <c r="H257" s="77">
        <v>4316</v>
      </c>
      <c r="I257" s="77">
        <v>1030</v>
      </c>
      <c r="J257" s="80">
        <f t="shared" si="70"/>
        <v>5346</v>
      </c>
      <c r="K257" s="81">
        <f t="shared" ref="K257:K281" si="71">J257-G257</f>
        <v>65</v>
      </c>
      <c r="L257" s="43"/>
      <c r="N257" s="52">
        <v>66087</v>
      </c>
      <c r="O257" s="52">
        <v>52487</v>
      </c>
      <c r="P257" s="52">
        <v>1830</v>
      </c>
      <c r="Q257" s="52"/>
      <c r="R257" s="52">
        <v>17689</v>
      </c>
      <c r="S257" s="95">
        <v>1720.8</v>
      </c>
      <c r="T257" s="95"/>
      <c r="U257" s="95"/>
      <c r="V257" s="52">
        <v>113107</v>
      </c>
      <c r="W257" s="52">
        <v>97961</v>
      </c>
      <c r="X257" s="52">
        <v>61874</v>
      </c>
      <c r="Y257" s="52">
        <v>92778</v>
      </c>
      <c r="Z257" s="52">
        <v>106234</v>
      </c>
    </row>
    <row r="258" spans="1:26" ht="18" hidden="1" customHeight="1" x14ac:dyDescent="0.2">
      <c r="A258" s="46">
        <v>43109</v>
      </c>
      <c r="B258" s="47" t="s">
        <v>97</v>
      </c>
      <c r="C258" s="48">
        <f>(V259-V258)*1+(W259-W258)*32+(X259-X258)*12+(Y259-Y258)*6</f>
        <v>2234</v>
      </c>
      <c r="D258" s="99">
        <f>(N259-N258)*8+(P259-P258)*8</f>
        <v>2752</v>
      </c>
      <c r="E258" s="45">
        <f>(R259-R258)*1+(S259-S258)*120</f>
        <v>917</v>
      </c>
      <c r="F258" s="45">
        <f>(Z259-Z258)*1</f>
        <v>122</v>
      </c>
      <c r="G258" s="79">
        <f t="shared" si="69"/>
        <v>6025</v>
      </c>
      <c r="H258" s="77">
        <v>4264</v>
      </c>
      <c r="I258" s="77">
        <v>1103</v>
      </c>
      <c r="J258" s="80">
        <f t="shared" si="70"/>
        <v>5367</v>
      </c>
      <c r="K258" s="81">
        <f t="shared" si="71"/>
        <v>-658</v>
      </c>
      <c r="L258" s="43"/>
      <c r="N258" s="52">
        <v>66317</v>
      </c>
      <c r="O258" s="52">
        <v>52575</v>
      </c>
      <c r="P258" s="52">
        <v>1843</v>
      </c>
      <c r="Q258" s="52"/>
      <c r="R258" s="52">
        <v>17707</v>
      </c>
      <c r="S258" s="95">
        <v>1729.3</v>
      </c>
      <c r="T258" s="95"/>
      <c r="U258" s="95"/>
      <c r="V258" s="52">
        <v>113293</v>
      </c>
      <c r="W258" s="52">
        <v>97993</v>
      </c>
      <c r="X258" s="52">
        <v>61954</v>
      </c>
      <c r="Y258" s="52">
        <v>92778</v>
      </c>
      <c r="Z258" s="52">
        <v>106363</v>
      </c>
    </row>
    <row r="259" spans="1:26" ht="18" hidden="1" customHeight="1" x14ac:dyDescent="0.2">
      <c r="A259" s="46">
        <v>43110</v>
      </c>
      <c r="B259" s="47" t="s">
        <v>98</v>
      </c>
      <c r="C259" s="48">
        <f>(V260-V259)*1+(W260-W259)*32+(X260-X259)*12+(Y260-Y259)*6</f>
        <v>2200</v>
      </c>
      <c r="D259" s="99">
        <f>(N260-N259)*8+(P260-P259)*8</f>
        <v>1464</v>
      </c>
      <c r="E259" s="45">
        <f>(R260-R259)*1+(S260-S259)*120</f>
        <v>941.00000000000546</v>
      </c>
      <c r="F259" s="45">
        <f>(Z260-Z259)*1</f>
        <v>136</v>
      </c>
      <c r="G259" s="79">
        <f t="shared" si="69"/>
        <v>4741.0000000000055</v>
      </c>
      <c r="H259" s="77">
        <v>4246</v>
      </c>
      <c r="I259" s="77">
        <v>1097</v>
      </c>
      <c r="J259" s="80">
        <f t="shared" si="70"/>
        <v>5343</v>
      </c>
      <c r="K259" s="81">
        <f t="shared" si="71"/>
        <v>601.99999999999454</v>
      </c>
      <c r="L259" s="43"/>
      <c r="N259" s="52">
        <v>66647</v>
      </c>
      <c r="O259" s="52">
        <v>52662</v>
      </c>
      <c r="P259" s="52">
        <v>1857</v>
      </c>
      <c r="Q259" s="52"/>
      <c r="R259" s="52">
        <v>17724</v>
      </c>
      <c r="S259" s="95">
        <v>1736.8</v>
      </c>
      <c r="T259" s="95"/>
      <c r="U259" s="95"/>
      <c r="V259" s="52">
        <v>113479</v>
      </c>
      <c r="W259" s="52">
        <v>98027</v>
      </c>
      <c r="X259" s="52">
        <v>62034</v>
      </c>
      <c r="Y259" s="52">
        <v>92778</v>
      </c>
      <c r="Z259" s="52">
        <v>106485</v>
      </c>
    </row>
    <row r="260" spans="1:26" ht="18" hidden="1" customHeight="1" x14ac:dyDescent="0.2">
      <c r="A260" s="46">
        <v>43111</v>
      </c>
      <c r="B260" s="47" t="s">
        <v>99</v>
      </c>
      <c r="C260" s="48">
        <f>(V261-V260)*1+(W261-W260)*32+(X261-X260)*12+(Y261-Y260)*6</f>
        <v>2135</v>
      </c>
      <c r="D260" s="99">
        <f>(N261-N260)*8+(P261-P260)*8</f>
        <v>1712</v>
      </c>
      <c r="E260" s="45">
        <f>(R261-R260)*1+(S261-S260)*120</f>
        <v>747.99999999998909</v>
      </c>
      <c r="F260" s="45">
        <f>(Z261-Z260)*1</f>
        <v>124</v>
      </c>
      <c r="G260" s="79">
        <f t="shared" si="69"/>
        <v>4718.9999999999891</v>
      </c>
      <c r="H260" s="77">
        <v>4171</v>
      </c>
      <c r="I260" s="77">
        <v>1105</v>
      </c>
      <c r="J260" s="80">
        <f t="shared" si="70"/>
        <v>5276</v>
      </c>
      <c r="K260" s="81">
        <f t="shared" si="71"/>
        <v>557.00000000001091</v>
      </c>
      <c r="L260" s="43"/>
      <c r="N260" s="52">
        <v>66817</v>
      </c>
      <c r="O260" s="52">
        <v>52752</v>
      </c>
      <c r="P260" s="52">
        <v>1870</v>
      </c>
      <c r="Q260" s="52"/>
      <c r="R260" s="52">
        <v>17741</v>
      </c>
      <c r="S260" s="95">
        <v>1744.5</v>
      </c>
      <c r="T260" s="95"/>
      <c r="U260" s="95"/>
      <c r="V260" s="52">
        <v>113667</v>
      </c>
      <c r="W260" s="52">
        <v>98058</v>
      </c>
      <c r="X260" s="52">
        <v>62119</v>
      </c>
      <c r="Y260" s="52">
        <v>92778</v>
      </c>
      <c r="Z260" s="52">
        <v>106621</v>
      </c>
    </row>
    <row r="261" spans="1:26" ht="18" hidden="1" customHeight="1" x14ac:dyDescent="0.2">
      <c r="A261" s="46">
        <v>43112</v>
      </c>
      <c r="B261" s="47" t="s">
        <v>100</v>
      </c>
      <c r="C261" s="48"/>
      <c r="D261" s="99">
        <v>0</v>
      </c>
      <c r="E261" s="45">
        <v>0</v>
      </c>
      <c r="F261" s="45">
        <v>0</v>
      </c>
      <c r="G261" s="79">
        <f t="shared" si="69"/>
        <v>0</v>
      </c>
      <c r="H261" s="77">
        <v>3985</v>
      </c>
      <c r="I261" s="77">
        <v>1115</v>
      </c>
      <c r="J261" s="80">
        <f t="shared" si="70"/>
        <v>5100</v>
      </c>
      <c r="K261" s="81">
        <f t="shared" si="71"/>
        <v>5100</v>
      </c>
      <c r="L261" s="43"/>
      <c r="N261" s="52">
        <v>67017</v>
      </c>
      <c r="O261" s="52">
        <v>52844</v>
      </c>
      <c r="P261" s="52">
        <v>1884</v>
      </c>
      <c r="Q261" s="52"/>
      <c r="R261" s="52">
        <v>17757</v>
      </c>
      <c r="S261" s="95">
        <v>1750.6</v>
      </c>
      <c r="T261" s="95"/>
      <c r="U261" s="95"/>
      <c r="V261" s="52">
        <v>113854</v>
      </c>
      <c r="W261" s="52">
        <v>98090</v>
      </c>
      <c r="X261" s="52">
        <v>62196</v>
      </c>
      <c r="Y261" s="52">
        <v>92778</v>
      </c>
      <c r="Z261" s="52">
        <v>106745</v>
      </c>
    </row>
    <row r="262" spans="1:26" ht="18" hidden="1" customHeight="1" x14ac:dyDescent="0.2">
      <c r="A262" s="46">
        <v>43113</v>
      </c>
      <c r="B262" s="47" t="s">
        <v>101</v>
      </c>
      <c r="C262" s="48"/>
      <c r="D262" s="99">
        <v>0</v>
      </c>
      <c r="E262" s="45">
        <v>0</v>
      </c>
      <c r="F262" s="45">
        <v>0</v>
      </c>
      <c r="G262" s="79">
        <f t="shared" si="69"/>
        <v>0</v>
      </c>
      <c r="H262" s="77"/>
      <c r="I262" s="77">
        <v>3922</v>
      </c>
      <c r="J262" s="80">
        <f t="shared" si="70"/>
        <v>3922</v>
      </c>
      <c r="K262" s="81">
        <f t="shared" si="71"/>
        <v>3922</v>
      </c>
      <c r="L262" s="43"/>
      <c r="N262" s="55">
        <v>67017</v>
      </c>
      <c r="O262" s="55">
        <v>52844</v>
      </c>
      <c r="P262" s="55">
        <v>1884</v>
      </c>
      <c r="Q262" s="55"/>
      <c r="R262" s="55">
        <v>17757</v>
      </c>
      <c r="S262" s="96">
        <v>1750.6</v>
      </c>
      <c r="T262" s="96"/>
      <c r="U262" s="96"/>
      <c r="V262" s="55">
        <v>113854</v>
      </c>
      <c r="W262" s="55">
        <v>98090</v>
      </c>
      <c r="X262" s="55">
        <v>62196</v>
      </c>
      <c r="Y262" s="55">
        <v>92778</v>
      </c>
      <c r="Z262" s="55">
        <v>106745</v>
      </c>
    </row>
    <row r="263" spans="1:26" ht="18" hidden="1" customHeight="1" x14ac:dyDescent="0.2">
      <c r="A263" s="46">
        <v>43114</v>
      </c>
      <c r="B263" s="47" t="s">
        <v>95</v>
      </c>
      <c r="C263" s="48">
        <f>(V264-V263)*1+(W264-W263)*32+(X264-X263)*12+(Y264-Y263)*6</f>
        <v>2758</v>
      </c>
      <c r="D263" s="99">
        <f>(N264-N263)*8+(P264-P263)*8</f>
        <v>5784</v>
      </c>
      <c r="E263" s="45">
        <f>(R264-R263)*1+(S264-S263)*120</f>
        <v>3218.0000000000109</v>
      </c>
      <c r="F263" s="45">
        <f>(Z264-Z263)*1</f>
        <v>485</v>
      </c>
      <c r="G263" s="79">
        <f t="shared" si="69"/>
        <v>12245.000000000011</v>
      </c>
      <c r="H263" s="77"/>
      <c r="I263" s="77">
        <v>3813</v>
      </c>
      <c r="J263" s="80">
        <f t="shared" si="70"/>
        <v>3813</v>
      </c>
      <c r="K263" s="81">
        <f t="shared" si="71"/>
        <v>-8432.0000000000109</v>
      </c>
      <c r="L263" s="43"/>
      <c r="N263" s="55">
        <v>67017</v>
      </c>
      <c r="O263" s="55">
        <v>52844</v>
      </c>
      <c r="P263" s="55">
        <v>1884</v>
      </c>
      <c r="Q263" s="55"/>
      <c r="R263" s="55">
        <v>17757</v>
      </c>
      <c r="S263" s="96">
        <v>1750.6</v>
      </c>
      <c r="T263" s="96"/>
      <c r="U263" s="96"/>
      <c r="V263" s="55">
        <v>113854</v>
      </c>
      <c r="W263" s="55">
        <v>98090</v>
      </c>
      <c r="X263" s="55">
        <v>62196</v>
      </c>
      <c r="Y263" s="55">
        <v>92778</v>
      </c>
      <c r="Z263" s="55">
        <v>106745</v>
      </c>
    </row>
    <row r="264" spans="1:26" ht="18" hidden="1" customHeight="1" x14ac:dyDescent="0.2">
      <c r="A264" s="46">
        <v>43115</v>
      </c>
      <c r="B264" s="47" t="s">
        <v>96</v>
      </c>
      <c r="C264" s="48">
        <f>(V265-V264)*1+(W265-W264)*32+(X265-X264)*12+(Y265-Y264)*6</f>
        <v>2287</v>
      </c>
      <c r="D264" s="99">
        <f>(N265-N264)*8+(P265-P264)*8</f>
        <v>1728</v>
      </c>
      <c r="E264" s="45">
        <f>(R265-R264)*1+(S265-S264)*120</f>
        <v>987.99999999998909</v>
      </c>
      <c r="F264" s="45">
        <f>(Z265-Z264)*1</f>
        <v>130</v>
      </c>
      <c r="G264" s="79">
        <f t="shared" si="69"/>
        <v>5132.9999999999891</v>
      </c>
      <c r="H264" s="77">
        <v>4144</v>
      </c>
      <c r="I264" s="77">
        <v>995</v>
      </c>
      <c r="J264" s="80">
        <f t="shared" si="70"/>
        <v>5139</v>
      </c>
      <c r="K264" s="81">
        <f t="shared" si="71"/>
        <v>6.0000000000109139</v>
      </c>
      <c r="L264" s="43"/>
      <c r="N264" s="52">
        <v>67717</v>
      </c>
      <c r="O264" s="52">
        <v>53105</v>
      </c>
      <c r="P264" s="52">
        <v>1907</v>
      </c>
      <c r="Q264" s="52"/>
      <c r="R264" s="52">
        <v>17807</v>
      </c>
      <c r="S264" s="95">
        <v>1777</v>
      </c>
      <c r="T264" s="95"/>
      <c r="U264" s="95"/>
      <c r="V264" s="52">
        <v>114132</v>
      </c>
      <c r="W264" s="52">
        <v>98139</v>
      </c>
      <c r="X264" s="52">
        <v>62272</v>
      </c>
      <c r="Y264" s="52">
        <v>92778</v>
      </c>
      <c r="Z264" s="52">
        <v>107230</v>
      </c>
    </row>
    <row r="265" spans="1:26" ht="18" hidden="1" customHeight="1" x14ac:dyDescent="0.2">
      <c r="A265" s="46">
        <v>43116</v>
      </c>
      <c r="B265" s="47" t="s">
        <v>97</v>
      </c>
      <c r="C265" s="48">
        <f>(V266-V265)*1+(W266-W265)*32+(X266-X265)*12+(Y266-Y265)*6</f>
        <v>2213</v>
      </c>
      <c r="D265" s="99">
        <f>(N266-N265)*8+(P266-P265)*8</f>
        <v>1760</v>
      </c>
      <c r="E265" s="45">
        <f>(R266-R265)*1+(S266-S265)*120</f>
        <v>819.00000000000546</v>
      </c>
      <c r="F265" s="45">
        <f>(Z266-Z265)*1</f>
        <v>123</v>
      </c>
      <c r="G265" s="79">
        <f t="shared" si="69"/>
        <v>4915.0000000000055</v>
      </c>
      <c r="H265" s="77">
        <v>4000</v>
      </c>
      <c r="I265" s="77">
        <v>996</v>
      </c>
      <c r="J265" s="80">
        <f t="shared" si="70"/>
        <v>4996</v>
      </c>
      <c r="K265" s="81">
        <f t="shared" si="71"/>
        <v>80.999999999994543</v>
      </c>
      <c r="L265" s="43"/>
      <c r="N265" s="52">
        <v>67917</v>
      </c>
      <c r="O265" s="52">
        <v>53181</v>
      </c>
      <c r="P265" s="52">
        <v>1923</v>
      </c>
      <c r="Q265" s="52"/>
      <c r="R265" s="52">
        <v>17823</v>
      </c>
      <c r="S265" s="95">
        <v>1785.1</v>
      </c>
      <c r="T265" s="95"/>
      <c r="U265" s="95"/>
      <c r="V265" s="52">
        <v>114519</v>
      </c>
      <c r="W265" s="52">
        <v>98171</v>
      </c>
      <c r="X265" s="52">
        <v>62345</v>
      </c>
      <c r="Y265" s="52">
        <v>92778</v>
      </c>
      <c r="Z265" s="52">
        <v>107360</v>
      </c>
    </row>
    <row r="266" spans="1:26" ht="18" hidden="1" customHeight="1" x14ac:dyDescent="0.2">
      <c r="A266" s="46">
        <v>43117</v>
      </c>
      <c r="B266" s="47" t="s">
        <v>98</v>
      </c>
      <c r="C266" s="48">
        <f>(V267-V266)*1+(W267-W266)*32+(X267-X266)*12+(Y267-Y266)*6</f>
        <v>2412</v>
      </c>
      <c r="D266" s="99">
        <f>(N267-N266)*8+(P267-P266)*8</f>
        <v>1672</v>
      </c>
      <c r="E266" s="45">
        <f>(R267-R266)*1+(S267-S266)*120</f>
        <v>891.99999999999454</v>
      </c>
      <c r="F266" s="45">
        <f>(Z267-Z266)*1</f>
        <v>113</v>
      </c>
      <c r="G266" s="79">
        <f t="shared" si="69"/>
        <v>5088.9999999999945</v>
      </c>
      <c r="H266" s="77">
        <v>4111</v>
      </c>
      <c r="I266" s="77">
        <v>1015</v>
      </c>
      <c r="J266" s="80">
        <f t="shared" si="70"/>
        <v>5126</v>
      </c>
      <c r="K266" s="81">
        <f t="shared" si="71"/>
        <v>37.000000000005457</v>
      </c>
      <c r="L266" s="43"/>
      <c r="N266" s="52">
        <v>68127</v>
      </c>
      <c r="O266" s="52">
        <v>53259</v>
      </c>
      <c r="P266" s="52">
        <v>1933</v>
      </c>
      <c r="Q266" s="52"/>
      <c r="R266" s="52">
        <v>17838</v>
      </c>
      <c r="S266" s="95">
        <v>1791.8</v>
      </c>
      <c r="T266" s="95"/>
      <c r="U266" s="95"/>
      <c r="V266" s="52">
        <v>114708</v>
      </c>
      <c r="W266" s="52">
        <v>98205</v>
      </c>
      <c r="X266" s="52">
        <v>62423</v>
      </c>
      <c r="Y266" s="52">
        <v>92778</v>
      </c>
      <c r="Z266" s="52">
        <v>107483</v>
      </c>
    </row>
    <row r="267" spans="1:26" ht="18" hidden="1" customHeight="1" x14ac:dyDescent="0.2">
      <c r="A267" s="46">
        <v>43118</v>
      </c>
      <c r="B267" s="47" t="s">
        <v>99</v>
      </c>
      <c r="C267" s="48">
        <f>(V268-V267)*1+(W268-W267)*32+(X268-X267)*12+(Y268-Y267)*6</f>
        <v>2041</v>
      </c>
      <c r="D267" s="99">
        <f>(N268-N267)*8+(P268-P267)*8</f>
        <v>1840</v>
      </c>
      <c r="E267" s="45">
        <f>(R268-R267)*1+(S268-S267)*120</f>
        <v>868.00000000001637</v>
      </c>
      <c r="F267" s="45">
        <f>(Z268-Z267)*1</f>
        <v>166</v>
      </c>
      <c r="G267" s="79">
        <f t="shared" si="69"/>
        <v>4915.0000000000164</v>
      </c>
      <c r="H267" s="77">
        <v>3950</v>
      </c>
      <c r="I267" s="77">
        <v>1135</v>
      </c>
      <c r="J267" s="80">
        <f t="shared" si="70"/>
        <v>5085</v>
      </c>
      <c r="K267" s="81">
        <f t="shared" si="71"/>
        <v>169.99999999998363</v>
      </c>
      <c r="L267" s="43"/>
      <c r="N267" s="52">
        <v>68327</v>
      </c>
      <c r="O267" s="52">
        <v>53339</v>
      </c>
      <c r="P267" s="52">
        <v>1942</v>
      </c>
      <c r="Q267" s="52"/>
      <c r="R267" s="52">
        <v>17854</v>
      </c>
      <c r="S267" s="95">
        <v>1799.1</v>
      </c>
      <c r="T267" s="95"/>
      <c r="U267" s="95"/>
      <c r="V267" s="52">
        <v>114908</v>
      </c>
      <c r="W267" s="52">
        <v>98246</v>
      </c>
      <c r="X267" s="52">
        <v>62498</v>
      </c>
      <c r="Y267" s="52">
        <v>92778</v>
      </c>
      <c r="Z267" s="52">
        <v>107596</v>
      </c>
    </row>
    <row r="268" spans="1:26" ht="18" hidden="1" customHeight="1" x14ac:dyDescent="0.2">
      <c r="A268" s="46">
        <v>43119</v>
      </c>
      <c r="B268" s="47" t="s">
        <v>100</v>
      </c>
      <c r="C268" s="48"/>
      <c r="D268" s="99">
        <v>0</v>
      </c>
      <c r="E268" s="45">
        <v>0</v>
      </c>
      <c r="F268" s="45">
        <v>0</v>
      </c>
      <c r="G268" s="79">
        <f t="shared" si="69"/>
        <v>0</v>
      </c>
      <c r="H268" s="77">
        <v>3970</v>
      </c>
      <c r="I268" s="77">
        <v>1030</v>
      </c>
      <c r="J268" s="80">
        <f t="shared" si="70"/>
        <v>5000</v>
      </c>
      <c r="K268" s="81">
        <f t="shared" si="71"/>
        <v>5000</v>
      </c>
      <c r="L268" s="43"/>
      <c r="N268" s="52">
        <v>68547</v>
      </c>
      <c r="O268" s="52">
        <v>53422</v>
      </c>
      <c r="P268" s="52">
        <v>1952</v>
      </c>
      <c r="Q268" s="52"/>
      <c r="R268" s="52">
        <v>17870</v>
      </c>
      <c r="S268" s="95">
        <v>1806.2</v>
      </c>
      <c r="T268" s="95"/>
      <c r="U268" s="95"/>
      <c r="V268" s="52">
        <v>115093</v>
      </c>
      <c r="W268" s="52">
        <v>98277</v>
      </c>
      <c r="X268" s="52">
        <v>62570</v>
      </c>
      <c r="Y268" s="52">
        <v>92778</v>
      </c>
      <c r="Z268" s="52">
        <v>107762</v>
      </c>
    </row>
    <row r="269" spans="1:26" ht="18" hidden="1" customHeight="1" x14ac:dyDescent="0.2">
      <c r="A269" s="46">
        <v>43120</v>
      </c>
      <c r="B269" s="47" t="s">
        <v>101</v>
      </c>
      <c r="C269" s="48"/>
      <c r="D269" s="99">
        <v>0</v>
      </c>
      <c r="E269" s="45">
        <v>0</v>
      </c>
      <c r="F269" s="45">
        <v>0</v>
      </c>
      <c r="G269" s="79">
        <f t="shared" si="69"/>
        <v>0</v>
      </c>
      <c r="H269" s="77"/>
      <c r="I269" s="77">
        <v>3926</v>
      </c>
      <c r="J269" s="80">
        <f t="shared" si="70"/>
        <v>3926</v>
      </c>
      <c r="K269" s="81">
        <f t="shared" si="71"/>
        <v>3926</v>
      </c>
      <c r="L269" s="43"/>
      <c r="N269" s="55">
        <v>68547</v>
      </c>
      <c r="O269" s="55">
        <v>53422</v>
      </c>
      <c r="P269" s="55">
        <v>1952</v>
      </c>
      <c r="Q269" s="55"/>
      <c r="R269" s="55">
        <v>17870</v>
      </c>
      <c r="S269" s="96">
        <v>1806.2</v>
      </c>
      <c r="T269" s="96"/>
      <c r="U269" s="96"/>
      <c r="V269" s="55">
        <v>115093</v>
      </c>
      <c r="W269" s="55">
        <v>98277</v>
      </c>
      <c r="X269" s="55">
        <v>62570</v>
      </c>
      <c r="Y269" s="55">
        <v>92778</v>
      </c>
      <c r="Z269" s="55">
        <v>107762</v>
      </c>
    </row>
    <row r="270" spans="1:26" ht="18" hidden="1" customHeight="1" x14ac:dyDescent="0.2">
      <c r="A270" s="46">
        <v>43121</v>
      </c>
      <c r="B270" s="47" t="s">
        <v>95</v>
      </c>
      <c r="C270" s="48">
        <f>(V271-V270)*1+(W271-W270)*32+(X271-X270)*12+(Y271-Y270)*6</f>
        <v>3167</v>
      </c>
      <c r="D270" s="99">
        <f>(N271-N270)*8+(P271-P270)*8</f>
        <v>5552</v>
      </c>
      <c r="E270" s="45">
        <f>(R271-R270)*1+(S271-S270)*120</f>
        <v>3217.9999999999836</v>
      </c>
      <c r="F270" s="45">
        <f>(Z271-Z270)*1</f>
        <v>277</v>
      </c>
      <c r="G270" s="79">
        <f t="shared" si="69"/>
        <v>12213.999999999984</v>
      </c>
      <c r="H270" s="77"/>
      <c r="I270" s="77">
        <v>3676</v>
      </c>
      <c r="J270" s="80">
        <f t="shared" si="70"/>
        <v>3676</v>
      </c>
      <c r="K270" s="81">
        <f t="shared" si="71"/>
        <v>-8537.9999999999836</v>
      </c>
      <c r="L270" s="43"/>
      <c r="N270" s="55">
        <v>68547</v>
      </c>
      <c r="O270" s="55">
        <v>53422</v>
      </c>
      <c r="P270" s="55">
        <v>1952</v>
      </c>
      <c r="Q270" s="55"/>
      <c r="R270" s="55">
        <v>17870</v>
      </c>
      <c r="S270" s="96">
        <v>1806.2</v>
      </c>
      <c r="T270" s="96"/>
      <c r="U270" s="96"/>
      <c r="V270" s="55">
        <v>115093</v>
      </c>
      <c r="W270" s="55">
        <v>98277</v>
      </c>
      <c r="X270" s="55">
        <v>62570</v>
      </c>
      <c r="Y270" s="55">
        <v>92778</v>
      </c>
      <c r="Z270" s="55">
        <v>107762</v>
      </c>
    </row>
    <row r="271" spans="1:26" ht="18" hidden="1" customHeight="1" x14ac:dyDescent="0.2">
      <c r="A271" s="46">
        <v>43122</v>
      </c>
      <c r="B271" s="47" t="s">
        <v>96</v>
      </c>
      <c r="C271" s="48">
        <f>(V272-V271)*1+(W272-W271)*32+(X272-X271)*12+(Y272-Y271)*6</f>
        <v>2008</v>
      </c>
      <c r="D271" s="99">
        <f>(N272-N271)*8+(P272-P271)*8</f>
        <v>1856</v>
      </c>
      <c r="E271" s="45">
        <f>(R272-R271)*1+(S272-S271)*120</f>
        <v>975</v>
      </c>
      <c r="F271" s="45">
        <f>(Z272-Z271)*1</f>
        <v>108</v>
      </c>
      <c r="G271" s="79">
        <f t="shared" si="69"/>
        <v>4947</v>
      </c>
      <c r="H271" s="77">
        <v>4087</v>
      </c>
      <c r="I271" s="77">
        <v>1035</v>
      </c>
      <c r="J271" s="80">
        <f t="shared" si="70"/>
        <v>5122</v>
      </c>
      <c r="K271" s="81">
        <f t="shared" si="71"/>
        <v>175</v>
      </c>
      <c r="L271" s="43"/>
      <c r="N271" s="52">
        <v>69217</v>
      </c>
      <c r="O271" s="52">
        <v>53671</v>
      </c>
      <c r="P271" s="52">
        <v>1976</v>
      </c>
      <c r="Q271" s="52"/>
      <c r="R271" s="52">
        <v>17920</v>
      </c>
      <c r="S271" s="95">
        <v>1832.6</v>
      </c>
      <c r="T271" s="95"/>
      <c r="U271" s="95"/>
      <c r="V271" s="52">
        <v>115548</v>
      </c>
      <c r="W271" s="52">
        <v>98331</v>
      </c>
      <c r="X271" s="52">
        <v>62652</v>
      </c>
      <c r="Y271" s="52">
        <v>92778</v>
      </c>
      <c r="Z271" s="52">
        <v>108039</v>
      </c>
    </row>
    <row r="272" spans="1:26" ht="18" hidden="1" customHeight="1" x14ac:dyDescent="0.2">
      <c r="A272" s="46">
        <v>43123</v>
      </c>
      <c r="B272" s="47" t="s">
        <v>97</v>
      </c>
      <c r="C272" s="48">
        <f>(V273-V272)*1+(W273-W272)*32+(X273-X272)*12+(Y273-Y272)*6</f>
        <v>2063</v>
      </c>
      <c r="D272" s="99">
        <f>(N273-N272)*8+(P273-P272)*8</f>
        <v>1816</v>
      </c>
      <c r="E272" s="45">
        <f>(R273-R272)*1+(S273-S272)*120</f>
        <v>856</v>
      </c>
      <c r="F272" s="45">
        <f>(Z273-Z272)*1</f>
        <v>87</v>
      </c>
      <c r="G272" s="79">
        <f t="shared" si="69"/>
        <v>4822</v>
      </c>
      <c r="H272" s="77">
        <v>3953</v>
      </c>
      <c r="I272" s="77">
        <v>1088</v>
      </c>
      <c r="J272" s="80">
        <f t="shared" si="70"/>
        <v>5041</v>
      </c>
      <c r="K272" s="81">
        <f t="shared" si="71"/>
        <v>219</v>
      </c>
      <c r="L272" s="43"/>
      <c r="N272" s="52">
        <v>69437</v>
      </c>
      <c r="O272" s="52">
        <v>53757</v>
      </c>
      <c r="P272" s="52">
        <v>1988</v>
      </c>
      <c r="Q272" s="52"/>
      <c r="R272" s="52">
        <v>17935</v>
      </c>
      <c r="S272" s="95">
        <v>1840.6</v>
      </c>
      <c r="T272" s="95"/>
      <c r="U272" s="95"/>
      <c r="V272" s="52">
        <v>115732</v>
      </c>
      <c r="W272" s="52">
        <v>98361</v>
      </c>
      <c r="X272" s="52">
        <f>62652+72</f>
        <v>62724</v>
      </c>
      <c r="Y272" s="52">
        <v>92778</v>
      </c>
      <c r="Z272" s="52">
        <v>108147</v>
      </c>
    </row>
    <row r="273" spans="1:26" ht="18" hidden="1" customHeight="1" x14ac:dyDescent="0.2">
      <c r="A273" s="46">
        <v>43124</v>
      </c>
      <c r="B273" s="47" t="s">
        <v>98</v>
      </c>
      <c r="C273" s="48">
        <f>(V274-V273)*1+(W274-W273)*32+(X274-X273)*12+(Y274-Y273)*6</f>
        <v>2120</v>
      </c>
      <c r="D273" s="99">
        <f>(N274-N273)*8+(P274-P273)*8</f>
        <v>1960</v>
      </c>
      <c r="E273" s="45">
        <f>(R274-R273)*1+(S274-S273)*120</f>
        <v>1036</v>
      </c>
      <c r="F273" s="45">
        <f>(Z274-Z273)*1</f>
        <v>102</v>
      </c>
      <c r="G273" s="79">
        <f t="shared" si="69"/>
        <v>5218</v>
      </c>
      <c r="H273" s="77">
        <v>4297</v>
      </c>
      <c r="I273" s="77">
        <v>1012</v>
      </c>
      <c r="J273" s="80">
        <f t="shared" si="70"/>
        <v>5309</v>
      </c>
      <c r="K273" s="81">
        <f t="shared" si="71"/>
        <v>91</v>
      </c>
      <c r="L273" s="43"/>
      <c r="N273" s="52">
        <v>69657</v>
      </c>
      <c r="O273" s="52">
        <v>53841</v>
      </c>
      <c r="P273" s="52">
        <v>1995</v>
      </c>
      <c r="Q273" s="52"/>
      <c r="R273" s="52">
        <v>17951</v>
      </c>
      <c r="S273" s="95">
        <v>1847.6</v>
      </c>
      <c r="T273" s="95"/>
      <c r="U273" s="95"/>
      <c r="V273" s="52">
        <v>115915</v>
      </c>
      <c r="W273" s="52">
        <v>98392</v>
      </c>
      <c r="X273" s="52">
        <v>62798</v>
      </c>
      <c r="Y273" s="52">
        <v>92778</v>
      </c>
      <c r="Z273" s="52">
        <v>108234</v>
      </c>
    </row>
    <row r="274" spans="1:26" ht="18" hidden="1" customHeight="1" x14ac:dyDescent="0.2">
      <c r="A274" s="46">
        <v>43125</v>
      </c>
      <c r="B274" s="47" t="s">
        <v>99</v>
      </c>
      <c r="C274" s="48">
        <f>(V275-V274)*1+(W275-W274)*32+(X275-X274)*12+(Y275-Y274)*6</f>
        <v>2182</v>
      </c>
      <c r="D274" s="99">
        <f>(N275-N274)*8+(P275-P274)*8</f>
        <v>1904</v>
      </c>
      <c r="E274" s="45">
        <f>(R275-R274)*1+(S275-S274)*120</f>
        <v>1011.0000000000218</v>
      </c>
      <c r="F274" s="45">
        <f>(Z275-Z274)*1</f>
        <v>120</v>
      </c>
      <c r="G274" s="79">
        <f t="shared" si="69"/>
        <v>5217.0000000000218</v>
      </c>
      <c r="H274" s="77">
        <v>4272</v>
      </c>
      <c r="I274" s="77">
        <v>1034</v>
      </c>
      <c r="J274" s="80">
        <f t="shared" si="70"/>
        <v>5306</v>
      </c>
      <c r="K274" s="81">
        <f t="shared" si="71"/>
        <v>88.999999999978172</v>
      </c>
      <c r="L274" s="43"/>
      <c r="N274" s="52">
        <v>69887</v>
      </c>
      <c r="O274" s="52">
        <v>53924</v>
      </c>
      <c r="P274" s="52">
        <v>2010</v>
      </c>
      <c r="Q274" s="52"/>
      <c r="R274" s="52">
        <v>17967</v>
      </c>
      <c r="S274" s="95">
        <v>1856.1</v>
      </c>
      <c r="T274" s="95"/>
      <c r="U274" s="95"/>
      <c r="V274" s="52">
        <v>116111</v>
      </c>
      <c r="W274" s="52">
        <v>98424</v>
      </c>
      <c r="X274" s="52">
        <v>62873</v>
      </c>
      <c r="Y274" s="52">
        <v>92778</v>
      </c>
      <c r="Z274" s="52">
        <v>108336</v>
      </c>
    </row>
    <row r="275" spans="1:26" ht="18" hidden="1" customHeight="1" x14ac:dyDescent="0.2">
      <c r="A275" s="46">
        <v>43126</v>
      </c>
      <c r="B275" s="47" t="s">
        <v>100</v>
      </c>
      <c r="C275" s="48"/>
      <c r="D275" s="99">
        <v>0</v>
      </c>
      <c r="E275" s="45">
        <v>0</v>
      </c>
      <c r="F275" s="45">
        <v>0</v>
      </c>
      <c r="G275" s="79">
        <f t="shared" si="69"/>
        <v>0</v>
      </c>
      <c r="H275" s="77">
        <v>4319</v>
      </c>
      <c r="I275" s="77">
        <v>1086</v>
      </c>
      <c r="J275" s="80">
        <f t="shared" si="70"/>
        <v>5405</v>
      </c>
      <c r="K275" s="81">
        <f t="shared" si="71"/>
        <v>5405</v>
      </c>
      <c r="L275" s="43"/>
      <c r="N275" s="52">
        <v>70117</v>
      </c>
      <c r="O275" s="52">
        <v>54011</v>
      </c>
      <c r="P275" s="52">
        <v>2018</v>
      </c>
      <c r="Q275" s="52"/>
      <c r="R275" s="52">
        <v>17982</v>
      </c>
      <c r="S275" s="95">
        <v>1864.4</v>
      </c>
      <c r="T275" s="95"/>
      <c r="U275" s="95"/>
      <c r="V275" s="52">
        <v>116289</v>
      </c>
      <c r="W275" s="52">
        <v>98457</v>
      </c>
      <c r="X275" s="52">
        <v>62952</v>
      </c>
      <c r="Y275" s="52">
        <v>92778</v>
      </c>
      <c r="Z275" s="52">
        <v>108456</v>
      </c>
    </row>
    <row r="276" spans="1:26" ht="18" hidden="1" customHeight="1" x14ac:dyDescent="0.2">
      <c r="A276" s="46">
        <v>43127</v>
      </c>
      <c r="B276" s="56" t="s">
        <v>103</v>
      </c>
      <c r="C276" s="48"/>
      <c r="D276" s="99">
        <v>0</v>
      </c>
      <c r="E276" s="45">
        <v>0</v>
      </c>
      <c r="F276" s="45">
        <v>0</v>
      </c>
      <c r="G276" s="79">
        <f t="shared" si="69"/>
        <v>0</v>
      </c>
      <c r="H276" s="77"/>
      <c r="I276" s="77">
        <v>4137</v>
      </c>
      <c r="J276" s="80">
        <f t="shared" si="70"/>
        <v>4137</v>
      </c>
      <c r="K276" s="81">
        <f t="shared" si="71"/>
        <v>4137</v>
      </c>
      <c r="L276" s="43"/>
      <c r="N276" s="55">
        <v>70117</v>
      </c>
      <c r="O276" s="55">
        <v>54011</v>
      </c>
      <c r="P276" s="55">
        <v>2018</v>
      </c>
      <c r="Q276" s="55"/>
      <c r="R276" s="55">
        <v>17982</v>
      </c>
      <c r="S276" s="96">
        <v>1864.4</v>
      </c>
      <c r="T276" s="96"/>
      <c r="U276" s="96"/>
      <c r="V276" s="55">
        <v>116289</v>
      </c>
      <c r="W276" s="55">
        <v>98457</v>
      </c>
      <c r="X276" s="55">
        <v>62952</v>
      </c>
      <c r="Y276" s="55">
        <v>92778</v>
      </c>
      <c r="Z276" s="55">
        <v>108456</v>
      </c>
    </row>
    <row r="277" spans="1:26" ht="18" hidden="1" customHeight="1" x14ac:dyDescent="0.2">
      <c r="A277" s="46">
        <v>43128</v>
      </c>
      <c r="B277" s="56" t="s">
        <v>104</v>
      </c>
      <c r="C277" s="48">
        <f>(V278-V277)*1+(W278-W277)*32+(X278-X277)*12+(Y278-Y277)*6</f>
        <v>3210</v>
      </c>
      <c r="D277" s="99">
        <f t="shared" ref="D277:D340" si="72">(N278-N277)*8+(P278-P277)*8</f>
        <v>5784</v>
      </c>
      <c r="E277" s="45">
        <f t="shared" ref="E277:E340" si="73">(R278-R277)*1+(S278-S277)*120</f>
        <v>3602.9999999999891</v>
      </c>
      <c r="F277" s="45">
        <f>(Z278-Z277)*1</f>
        <v>404</v>
      </c>
      <c r="G277" s="79">
        <f>C277+D277+F277+E277</f>
        <v>13000.999999999989</v>
      </c>
      <c r="H277" s="77"/>
      <c r="I277" s="77">
        <v>3851</v>
      </c>
      <c r="J277" s="80">
        <f t="shared" si="70"/>
        <v>3851</v>
      </c>
      <c r="K277" s="81">
        <f t="shared" si="71"/>
        <v>-9149.9999999999891</v>
      </c>
      <c r="L277" s="43"/>
      <c r="N277" s="55">
        <v>70117</v>
      </c>
      <c r="O277" s="55">
        <v>54011</v>
      </c>
      <c r="P277" s="55">
        <v>2018</v>
      </c>
      <c r="Q277" s="55"/>
      <c r="R277" s="55">
        <v>17982</v>
      </c>
      <c r="S277" s="96">
        <v>1864.4</v>
      </c>
      <c r="T277" s="96"/>
      <c r="U277" s="96"/>
      <c r="V277" s="55">
        <v>116289</v>
      </c>
      <c r="W277" s="55">
        <v>98457</v>
      </c>
      <c r="X277" s="55">
        <v>62952</v>
      </c>
      <c r="Y277" s="55">
        <v>92778</v>
      </c>
      <c r="Z277" s="55">
        <v>108456</v>
      </c>
    </row>
    <row r="278" spans="1:26" ht="18" hidden="1" customHeight="1" x14ac:dyDescent="0.2">
      <c r="A278" s="46">
        <v>43129</v>
      </c>
      <c r="B278" s="47" t="s">
        <v>96</v>
      </c>
      <c r="C278" s="48">
        <f>(V279-V278)*1+(W279-W278)*32+(X279-X278)*12+(Y279-Y278)*6</f>
        <v>2382</v>
      </c>
      <c r="D278" s="99">
        <f t="shared" si="72"/>
        <v>2024</v>
      </c>
      <c r="E278" s="45">
        <f t="shared" si="73"/>
        <v>1168.9999999999891</v>
      </c>
      <c r="F278" s="45">
        <f>(Z279-Z278)*1</f>
        <v>152</v>
      </c>
      <c r="G278" s="79">
        <f>C278+D278+F278+E278</f>
        <v>5726.9999999999891</v>
      </c>
      <c r="H278" s="77">
        <v>4647</v>
      </c>
      <c r="I278" s="77">
        <v>1065</v>
      </c>
      <c r="J278" s="80">
        <f t="shared" si="70"/>
        <v>5712</v>
      </c>
      <c r="K278" s="81">
        <f t="shared" si="71"/>
        <v>-14.999999999989086</v>
      </c>
      <c r="L278" s="43"/>
      <c r="N278" s="52">
        <v>70817</v>
      </c>
      <c r="O278" s="52">
        <v>54272</v>
      </c>
      <c r="P278" s="52">
        <v>2041</v>
      </c>
      <c r="Q278" s="52"/>
      <c r="R278" s="52">
        <v>18033</v>
      </c>
      <c r="S278" s="95">
        <v>1894</v>
      </c>
      <c r="T278" s="95"/>
      <c r="U278" s="95"/>
      <c r="V278" s="52">
        <v>116771</v>
      </c>
      <c r="W278" s="52">
        <v>98513</v>
      </c>
      <c r="X278" s="52">
        <v>63030</v>
      </c>
      <c r="Y278" s="52">
        <v>92778</v>
      </c>
      <c r="Z278" s="52">
        <v>108860</v>
      </c>
    </row>
    <row r="279" spans="1:26" ht="18" hidden="1" customHeight="1" x14ac:dyDescent="0.2">
      <c r="A279" s="46">
        <v>43130</v>
      </c>
      <c r="B279" s="47" t="s">
        <v>97</v>
      </c>
      <c r="C279" s="48">
        <f>(V280-V279)*1+(W280-W279)*32+(X280-X279)*12+(Y280-Y279)*6</f>
        <v>2565</v>
      </c>
      <c r="D279" s="99">
        <f t="shared" si="72"/>
        <v>2096</v>
      </c>
      <c r="E279" s="45">
        <f t="shared" si="73"/>
        <v>951.00000000002183</v>
      </c>
      <c r="F279" s="45">
        <f>(Z280-Z279)*1</f>
        <v>165</v>
      </c>
      <c r="G279" s="79">
        <f>C279+D279+F279+E279</f>
        <v>5777.0000000000218</v>
      </c>
      <c r="H279" s="77">
        <v>4576</v>
      </c>
      <c r="I279" s="77">
        <v>1187</v>
      </c>
      <c r="J279" s="80">
        <f t="shared" si="70"/>
        <v>5763</v>
      </c>
      <c r="K279" s="81">
        <f t="shared" si="71"/>
        <v>-14.000000000021828</v>
      </c>
      <c r="L279" s="43"/>
      <c r="N279" s="52">
        <v>71057</v>
      </c>
      <c r="O279" s="52">
        <v>54364</v>
      </c>
      <c r="P279" s="52">
        <v>2054</v>
      </c>
      <c r="Q279" s="52"/>
      <c r="R279" s="52">
        <v>18050</v>
      </c>
      <c r="S279" s="95">
        <v>1903.6</v>
      </c>
      <c r="T279" s="95"/>
      <c r="U279" s="95"/>
      <c r="V279" s="52">
        <v>116941</v>
      </c>
      <c r="W279" s="52">
        <v>98548</v>
      </c>
      <c r="X279" s="52">
        <v>63121</v>
      </c>
      <c r="Y279" s="52">
        <v>92778</v>
      </c>
      <c r="Z279" s="52">
        <v>109012</v>
      </c>
    </row>
    <row r="280" spans="1:26" ht="18" hidden="1" customHeight="1" x14ac:dyDescent="0.2">
      <c r="A280" s="46">
        <v>43131</v>
      </c>
      <c r="B280" s="47" t="s">
        <v>98</v>
      </c>
      <c r="C280" s="48">
        <f>(V281-V280)*1+(W281-W280)*32+(X281-X280)*12+(Y281-Y280)*6</f>
        <v>1823</v>
      </c>
      <c r="D280" s="99">
        <f t="shared" si="72"/>
        <v>1912</v>
      </c>
      <c r="E280" s="45">
        <f t="shared" si="73"/>
        <v>1108.9999999999891</v>
      </c>
      <c r="F280" s="45">
        <f>(Z281-Z280)*1</f>
        <v>157</v>
      </c>
      <c r="G280" s="79">
        <f>C280+D280+F280+E280</f>
        <v>5000.9999999999891</v>
      </c>
      <c r="H280" s="77">
        <v>4551</v>
      </c>
      <c r="I280" s="77">
        <v>1160</v>
      </c>
      <c r="J280" s="80">
        <f t="shared" si="70"/>
        <v>5711</v>
      </c>
      <c r="K280" s="81">
        <f t="shared" si="71"/>
        <v>710.00000000001091</v>
      </c>
      <c r="L280" s="43"/>
      <c r="N280" s="52">
        <v>71307</v>
      </c>
      <c r="O280" s="52">
        <v>54457</v>
      </c>
      <c r="P280" s="52">
        <v>2066</v>
      </c>
      <c r="Q280" s="52"/>
      <c r="R280" s="52">
        <v>18065</v>
      </c>
      <c r="S280" s="95">
        <v>1911.4</v>
      </c>
      <c r="T280" s="95"/>
      <c r="U280" s="95"/>
      <c r="V280" s="52">
        <v>117126</v>
      </c>
      <c r="W280" s="52">
        <v>98589</v>
      </c>
      <c r="X280" s="52">
        <v>63210</v>
      </c>
      <c r="Y280" s="52">
        <v>92778</v>
      </c>
      <c r="Z280" s="52">
        <v>109177</v>
      </c>
    </row>
    <row r="281" spans="1:26" ht="18" hidden="1" customHeight="1" x14ac:dyDescent="0.2">
      <c r="A281" s="47">
        <v>43132</v>
      </c>
      <c r="B281" s="47" t="s">
        <v>99</v>
      </c>
      <c r="C281" s="48">
        <f>(V282-V281)*1+(W282-W281)*32+(X282-X281)*12+(Y282-Y281)*6</f>
        <v>2424</v>
      </c>
      <c r="D281" s="99">
        <f t="shared" si="72"/>
        <v>1088</v>
      </c>
      <c r="E281" s="45">
        <f t="shared" si="73"/>
        <v>1012.9999999999945</v>
      </c>
      <c r="F281" s="45">
        <f>(Z282-Z281)*1</f>
        <v>155</v>
      </c>
      <c r="G281" s="156">
        <f>C281+D281+F281+E281</f>
        <v>4679.9999999999945</v>
      </c>
      <c r="H281" s="77">
        <v>3764</v>
      </c>
      <c r="I281" s="77">
        <v>962</v>
      </c>
      <c r="J281" s="158">
        <f t="shared" si="70"/>
        <v>4726</v>
      </c>
      <c r="K281" s="81">
        <f t="shared" si="71"/>
        <v>46.000000000005457</v>
      </c>
      <c r="L281" s="43"/>
      <c r="N281" s="52">
        <v>71537</v>
      </c>
      <c r="O281" s="52">
        <v>54540</v>
      </c>
      <c r="P281" s="52">
        <v>2075</v>
      </c>
      <c r="Q281" s="52"/>
      <c r="R281" s="52">
        <v>18082</v>
      </c>
      <c r="S281" s="95">
        <v>1920.5</v>
      </c>
      <c r="T281" s="95"/>
      <c r="U281" s="95"/>
      <c r="V281" s="52">
        <v>117321</v>
      </c>
      <c r="W281" s="52">
        <v>98611</v>
      </c>
      <c r="X281" s="52">
        <v>63287</v>
      </c>
      <c r="Y281" s="52">
        <v>92778</v>
      </c>
      <c r="Z281" s="52">
        <v>109334</v>
      </c>
    </row>
    <row r="282" spans="1:26" ht="18" hidden="1" customHeight="1" x14ac:dyDescent="0.2">
      <c r="A282" s="47">
        <v>43133</v>
      </c>
      <c r="B282" s="47" t="s">
        <v>100</v>
      </c>
      <c r="C282" s="48">
        <f t="shared" ref="C282:C345" si="74">(V283-V282)*1+(W283-W282)*32+(X283-X282)*12+(Y283-Y282)*6</f>
        <v>0</v>
      </c>
      <c r="D282" s="99">
        <f t="shared" si="72"/>
        <v>0</v>
      </c>
      <c r="E282" s="45">
        <f t="shared" si="73"/>
        <v>0</v>
      </c>
      <c r="F282" s="45">
        <f t="shared" ref="F282:F345" si="75">(Z283-Z282)*1</f>
        <v>0</v>
      </c>
      <c r="G282" s="156">
        <f t="shared" ref="G282:G345" si="76">C282+D282+F282+E282</f>
        <v>0</v>
      </c>
      <c r="H282" s="77">
        <v>4050</v>
      </c>
      <c r="I282" s="77">
        <v>801</v>
      </c>
      <c r="J282" s="158">
        <f t="shared" si="70"/>
        <v>4851</v>
      </c>
      <c r="K282" s="81">
        <v>0</v>
      </c>
      <c r="L282" s="43"/>
      <c r="N282" s="135">
        <v>71657</v>
      </c>
      <c r="O282" s="135">
        <v>54582</v>
      </c>
      <c r="P282" s="135">
        <v>2091</v>
      </c>
      <c r="Q282" s="135"/>
      <c r="R282" s="135">
        <v>18099</v>
      </c>
      <c r="S282" s="136">
        <v>1928.8</v>
      </c>
      <c r="T282" s="136"/>
      <c r="U282" s="136"/>
      <c r="V282" s="135">
        <v>117517</v>
      </c>
      <c r="W282" s="135">
        <v>98651</v>
      </c>
      <c r="X282" s="135">
        <v>63366</v>
      </c>
      <c r="Y282" s="135">
        <v>92778</v>
      </c>
      <c r="Z282" s="135">
        <v>109489</v>
      </c>
    </row>
    <row r="283" spans="1:26" ht="18" hidden="1" customHeight="1" x14ac:dyDescent="0.2">
      <c r="A283" s="47">
        <v>43134</v>
      </c>
      <c r="B283" s="47" t="s">
        <v>101</v>
      </c>
      <c r="C283" s="48"/>
      <c r="D283" s="99">
        <f t="shared" si="72"/>
        <v>0</v>
      </c>
      <c r="E283" s="45">
        <f t="shared" si="73"/>
        <v>0</v>
      </c>
      <c r="F283" s="45">
        <f t="shared" si="75"/>
        <v>0</v>
      </c>
      <c r="G283" s="156">
        <f t="shared" si="76"/>
        <v>0</v>
      </c>
      <c r="H283" s="77">
        <v>0</v>
      </c>
      <c r="I283" s="77">
        <v>4632</v>
      </c>
      <c r="J283" s="158">
        <f t="shared" si="70"/>
        <v>4632</v>
      </c>
      <c r="K283" s="81">
        <v>0</v>
      </c>
      <c r="L283" s="43"/>
      <c r="N283" s="139">
        <v>71657</v>
      </c>
      <c r="O283" s="139">
        <v>54582</v>
      </c>
      <c r="P283" s="139">
        <v>2091</v>
      </c>
      <c r="Q283" s="139"/>
      <c r="R283" s="139">
        <v>18099</v>
      </c>
      <c r="S283" s="140">
        <v>1928.8</v>
      </c>
      <c r="T283" s="140"/>
      <c r="U283" s="140"/>
      <c r="V283" s="139">
        <v>117517</v>
      </c>
      <c r="W283" s="139">
        <v>98651</v>
      </c>
      <c r="X283" s="139">
        <v>63366</v>
      </c>
      <c r="Y283" s="139">
        <v>92778</v>
      </c>
      <c r="Z283" s="139">
        <v>109489</v>
      </c>
    </row>
    <row r="284" spans="1:26" ht="18" hidden="1" customHeight="1" x14ac:dyDescent="0.2">
      <c r="A284" s="47">
        <v>43135</v>
      </c>
      <c r="B284" s="47" t="s">
        <v>95</v>
      </c>
      <c r="C284" s="48"/>
      <c r="D284" s="99">
        <f t="shared" si="72"/>
        <v>0</v>
      </c>
      <c r="E284" s="45">
        <f t="shared" si="73"/>
        <v>0</v>
      </c>
      <c r="F284" s="45">
        <f t="shared" si="75"/>
        <v>0</v>
      </c>
      <c r="G284" s="156">
        <f t="shared" si="76"/>
        <v>0</v>
      </c>
      <c r="H284" s="77">
        <v>0</v>
      </c>
      <c r="I284" s="77">
        <v>3464</v>
      </c>
      <c r="J284" s="158">
        <f t="shared" si="70"/>
        <v>3464</v>
      </c>
      <c r="K284" s="81">
        <v>0</v>
      </c>
      <c r="L284" s="43"/>
      <c r="N284" s="139">
        <v>71657</v>
      </c>
      <c r="O284" s="139">
        <v>54582</v>
      </c>
      <c r="P284" s="139">
        <v>2091</v>
      </c>
      <c r="Q284" s="139"/>
      <c r="R284" s="139">
        <v>18099</v>
      </c>
      <c r="S284" s="140">
        <v>1928.8</v>
      </c>
      <c r="T284" s="140"/>
      <c r="U284" s="140"/>
      <c r="V284" s="139">
        <v>117517</v>
      </c>
      <c r="W284" s="139">
        <v>98651</v>
      </c>
      <c r="X284" s="139">
        <v>63366</v>
      </c>
      <c r="Y284" s="139">
        <v>92778</v>
      </c>
      <c r="Z284" s="139">
        <v>109489</v>
      </c>
    </row>
    <row r="285" spans="1:26" ht="18" hidden="1" customHeight="1" x14ac:dyDescent="0.2">
      <c r="A285" s="47">
        <v>43136</v>
      </c>
      <c r="B285" s="47" t="s">
        <v>96</v>
      </c>
      <c r="C285" s="48">
        <f t="shared" si="74"/>
        <v>7114</v>
      </c>
      <c r="D285" s="99">
        <f t="shared" si="72"/>
        <v>6560</v>
      </c>
      <c r="E285" s="45">
        <f t="shared" si="73"/>
        <v>4943.0000000000164</v>
      </c>
      <c r="F285" s="45">
        <f t="shared" si="75"/>
        <v>622</v>
      </c>
      <c r="G285" s="156">
        <f t="shared" si="76"/>
        <v>19239.000000000015</v>
      </c>
      <c r="H285" s="77">
        <v>4771</v>
      </c>
      <c r="I285" s="77">
        <v>1045</v>
      </c>
      <c r="J285" s="158">
        <f t="shared" si="70"/>
        <v>5816</v>
      </c>
      <c r="K285" s="81">
        <f>J282+J283+J284+J285-G285</f>
        <v>-476.00000000001455</v>
      </c>
      <c r="L285" s="43"/>
      <c r="N285" s="139">
        <v>71657</v>
      </c>
      <c r="O285" s="139">
        <v>54582</v>
      </c>
      <c r="P285" s="139">
        <v>2091</v>
      </c>
      <c r="Q285" s="139"/>
      <c r="R285" s="139">
        <v>18099</v>
      </c>
      <c r="S285" s="140">
        <v>1928.8</v>
      </c>
      <c r="T285" s="140"/>
      <c r="U285" s="140"/>
      <c r="V285" s="139">
        <v>117517</v>
      </c>
      <c r="W285" s="139">
        <v>98651</v>
      </c>
      <c r="X285" s="139">
        <v>63366</v>
      </c>
      <c r="Y285" s="139">
        <v>92778</v>
      </c>
      <c r="Z285" s="139">
        <v>109489</v>
      </c>
    </row>
    <row r="286" spans="1:26" ht="18" hidden="1" customHeight="1" x14ac:dyDescent="0.2">
      <c r="A286" s="47">
        <v>43137</v>
      </c>
      <c r="B286" s="47" t="s">
        <v>97</v>
      </c>
      <c r="C286" s="48">
        <f t="shared" si="74"/>
        <v>2377</v>
      </c>
      <c r="D286" s="99">
        <f t="shared" si="72"/>
        <v>1432</v>
      </c>
      <c r="E286" s="45">
        <f t="shared" si="73"/>
        <v>2108.9999999999891</v>
      </c>
      <c r="F286" s="45">
        <f t="shared" si="75"/>
        <v>171</v>
      </c>
      <c r="G286" s="156">
        <f t="shared" si="76"/>
        <v>6088.9999999999891</v>
      </c>
      <c r="H286" s="77">
        <v>4495</v>
      </c>
      <c r="I286" s="77">
        <v>1059</v>
      </c>
      <c r="J286" s="158">
        <f t="shared" si="70"/>
        <v>5554</v>
      </c>
      <c r="K286" s="81">
        <f t="shared" ref="K286:K338" si="77">J286-G286</f>
        <v>-534.99999999998909</v>
      </c>
      <c r="L286" s="43"/>
      <c r="N286" s="137">
        <v>72437</v>
      </c>
      <c r="O286" s="137">
        <v>54851</v>
      </c>
      <c r="P286" s="137">
        <v>2131</v>
      </c>
      <c r="Q286" s="137"/>
      <c r="R286" s="137">
        <v>18170</v>
      </c>
      <c r="S286" s="138">
        <v>1969.4</v>
      </c>
      <c r="T286" s="138"/>
      <c r="U286" s="138"/>
      <c r="V286" s="137">
        <v>118247</v>
      </c>
      <c r="W286" s="137">
        <v>98762</v>
      </c>
      <c r="X286" s="137">
        <v>63602</v>
      </c>
      <c r="Y286" s="137">
        <v>92778</v>
      </c>
      <c r="Z286" s="137">
        <v>110111</v>
      </c>
    </row>
    <row r="287" spans="1:26" ht="18" hidden="1" customHeight="1" x14ac:dyDescent="0.2">
      <c r="A287" s="47">
        <v>43138</v>
      </c>
      <c r="B287" s="47" t="s">
        <v>98</v>
      </c>
      <c r="C287" s="48">
        <f t="shared" si="74"/>
        <v>2160</v>
      </c>
      <c r="D287" s="99">
        <f t="shared" si="72"/>
        <v>1456</v>
      </c>
      <c r="E287" s="45">
        <f t="shared" si="73"/>
        <v>313.99999999999454</v>
      </c>
      <c r="F287" s="45">
        <f t="shared" si="75"/>
        <v>182</v>
      </c>
      <c r="G287" s="156">
        <f t="shared" si="76"/>
        <v>4111.9999999999945</v>
      </c>
      <c r="H287" s="77">
        <v>4523</v>
      </c>
      <c r="I287" s="77">
        <v>1082</v>
      </c>
      <c r="J287" s="158">
        <f t="shared" si="70"/>
        <v>5605</v>
      </c>
      <c r="K287" s="81">
        <f t="shared" si="77"/>
        <v>1493.0000000000055</v>
      </c>
      <c r="L287" s="43"/>
      <c r="N287" s="137">
        <v>72607</v>
      </c>
      <c r="O287" s="137">
        <v>54931</v>
      </c>
      <c r="P287" s="137">
        <v>2140</v>
      </c>
      <c r="Q287" s="137"/>
      <c r="R287" s="137">
        <v>19187</v>
      </c>
      <c r="S287" s="138">
        <v>1978.5</v>
      </c>
      <c r="T287" s="138"/>
      <c r="U287" s="138"/>
      <c r="V287" s="137">
        <v>118436</v>
      </c>
      <c r="W287" s="137">
        <v>98797</v>
      </c>
      <c r="X287" s="137">
        <v>63691</v>
      </c>
      <c r="Y287" s="137">
        <v>92778</v>
      </c>
      <c r="Z287" s="137">
        <v>110282</v>
      </c>
    </row>
    <row r="288" spans="1:26" ht="18" hidden="1" customHeight="1" x14ac:dyDescent="0.2">
      <c r="A288" s="47">
        <v>43139</v>
      </c>
      <c r="B288" s="47" t="s">
        <v>99</v>
      </c>
      <c r="C288" s="48">
        <f t="shared" si="74"/>
        <v>2071</v>
      </c>
      <c r="D288" s="99">
        <f t="shared" si="72"/>
        <v>1544</v>
      </c>
      <c r="E288" s="45">
        <f t="shared" si="73"/>
        <v>1146.0000000000109</v>
      </c>
      <c r="F288" s="45">
        <f t="shared" si="75"/>
        <v>170</v>
      </c>
      <c r="G288" s="156">
        <f t="shared" si="76"/>
        <v>4931.0000000000109</v>
      </c>
      <c r="H288" s="77">
        <v>4049</v>
      </c>
      <c r="I288" s="77">
        <v>1113</v>
      </c>
      <c r="J288" s="158">
        <f t="shared" si="70"/>
        <v>5162</v>
      </c>
      <c r="K288" s="81">
        <f t="shared" si="77"/>
        <v>230.99999999998909</v>
      </c>
      <c r="L288" s="43"/>
      <c r="N288" s="112">
        <v>72777</v>
      </c>
      <c r="O288" s="112">
        <v>55014</v>
      </c>
      <c r="P288" s="112">
        <v>2152</v>
      </c>
      <c r="Q288" s="112"/>
      <c r="R288" s="112">
        <v>18205</v>
      </c>
      <c r="S288" s="113">
        <v>1989.3</v>
      </c>
      <c r="T288" s="113"/>
      <c r="U288" s="113"/>
      <c r="V288" s="112">
        <v>118612</v>
      </c>
      <c r="W288" s="112">
        <v>98829</v>
      </c>
      <c r="X288" s="112">
        <v>63771</v>
      </c>
      <c r="Y288" s="112">
        <v>92778</v>
      </c>
      <c r="Z288" s="112">
        <v>110464</v>
      </c>
    </row>
    <row r="289" spans="1:26" ht="18" hidden="1" customHeight="1" x14ac:dyDescent="0.2">
      <c r="A289" s="47">
        <v>43140</v>
      </c>
      <c r="B289" s="47" t="s">
        <v>100</v>
      </c>
      <c r="C289" s="48"/>
      <c r="D289" s="99">
        <f t="shared" si="72"/>
        <v>0</v>
      </c>
      <c r="E289" s="45">
        <f t="shared" si="73"/>
        <v>0</v>
      </c>
      <c r="F289" s="45">
        <f t="shared" si="75"/>
        <v>0</v>
      </c>
      <c r="G289" s="156">
        <f t="shared" si="76"/>
        <v>0</v>
      </c>
      <c r="H289" s="77">
        <v>4166</v>
      </c>
      <c r="I289" s="77">
        <v>1055</v>
      </c>
      <c r="J289" s="158">
        <f t="shared" si="70"/>
        <v>5221</v>
      </c>
      <c r="K289" s="81">
        <v>0</v>
      </c>
      <c r="L289" s="43"/>
      <c r="N289" s="112">
        <v>72957</v>
      </c>
      <c r="O289" s="112">
        <v>55099</v>
      </c>
      <c r="P289" s="112">
        <v>2165</v>
      </c>
      <c r="Q289" s="112"/>
      <c r="R289" s="112">
        <v>18223</v>
      </c>
      <c r="S289" s="113">
        <v>1998.7</v>
      </c>
      <c r="T289" s="113"/>
      <c r="U289" s="113"/>
      <c r="V289" s="112">
        <v>118795</v>
      </c>
      <c r="W289" s="112">
        <v>98861</v>
      </c>
      <c r="X289" s="112">
        <v>63843</v>
      </c>
      <c r="Y289" s="112">
        <v>92778</v>
      </c>
      <c r="Z289" s="112">
        <v>110634</v>
      </c>
    </row>
    <row r="290" spans="1:26" ht="18" hidden="1" customHeight="1" x14ac:dyDescent="0.2">
      <c r="A290" s="47">
        <v>43141</v>
      </c>
      <c r="B290" s="47" t="s">
        <v>101</v>
      </c>
      <c r="C290" s="48"/>
      <c r="D290" s="99">
        <f t="shared" si="72"/>
        <v>0</v>
      </c>
      <c r="E290" s="45">
        <f t="shared" si="73"/>
        <v>0</v>
      </c>
      <c r="F290" s="45">
        <f t="shared" si="75"/>
        <v>0</v>
      </c>
      <c r="G290" s="156">
        <f t="shared" si="76"/>
        <v>0</v>
      </c>
      <c r="H290" s="77">
        <v>0</v>
      </c>
      <c r="I290" s="77">
        <v>3269</v>
      </c>
      <c r="J290" s="158">
        <f t="shared" si="70"/>
        <v>3269</v>
      </c>
      <c r="K290" s="81">
        <v>0</v>
      </c>
      <c r="L290" s="43"/>
      <c r="N290" s="153">
        <v>72957</v>
      </c>
      <c r="O290" s="153">
        <v>55099</v>
      </c>
      <c r="P290" s="153">
        <v>2165</v>
      </c>
      <c r="Q290" s="153"/>
      <c r="R290" s="153">
        <v>18223</v>
      </c>
      <c r="S290" s="154">
        <v>1998.7</v>
      </c>
      <c r="T290" s="154"/>
      <c r="U290" s="154"/>
      <c r="V290" s="153">
        <v>118795</v>
      </c>
      <c r="W290" s="153">
        <v>98861</v>
      </c>
      <c r="X290" s="153">
        <v>63843</v>
      </c>
      <c r="Y290" s="153">
        <v>92778</v>
      </c>
      <c r="Z290" s="153">
        <v>110634</v>
      </c>
    </row>
    <row r="291" spans="1:26" ht="18" hidden="1" customHeight="1" x14ac:dyDescent="0.2">
      <c r="A291" s="47">
        <v>43142</v>
      </c>
      <c r="B291" s="47" t="s">
        <v>95</v>
      </c>
      <c r="C291" s="48">
        <f t="shared" si="74"/>
        <v>3266</v>
      </c>
      <c r="D291" s="99">
        <f t="shared" si="72"/>
        <v>5040</v>
      </c>
      <c r="E291" s="45">
        <f t="shared" si="73"/>
        <v>3447.9999999999945</v>
      </c>
      <c r="F291" s="45">
        <f t="shared" si="75"/>
        <v>458</v>
      </c>
      <c r="G291" s="156">
        <f t="shared" si="76"/>
        <v>12211.999999999995</v>
      </c>
      <c r="H291" s="77">
        <v>0</v>
      </c>
      <c r="I291" s="77">
        <v>3215</v>
      </c>
      <c r="J291" s="158">
        <f t="shared" si="70"/>
        <v>3215</v>
      </c>
      <c r="K291" s="81">
        <f>J289+J290+J291-G291</f>
        <v>-506.99999999999454</v>
      </c>
      <c r="L291" s="43"/>
      <c r="N291" s="153">
        <v>72957</v>
      </c>
      <c r="O291" s="153">
        <v>55099</v>
      </c>
      <c r="P291" s="153">
        <v>2165</v>
      </c>
      <c r="Q291" s="153"/>
      <c r="R291" s="153">
        <v>18223</v>
      </c>
      <c r="S291" s="154">
        <v>1998.7</v>
      </c>
      <c r="T291" s="154"/>
      <c r="U291" s="154"/>
      <c r="V291" s="153">
        <v>118795</v>
      </c>
      <c r="W291" s="153">
        <v>98861</v>
      </c>
      <c r="X291" s="153">
        <v>63843</v>
      </c>
      <c r="Y291" s="153">
        <v>92778</v>
      </c>
      <c r="Z291" s="153">
        <v>110634</v>
      </c>
    </row>
    <row r="292" spans="1:26" ht="18" hidden="1" customHeight="1" x14ac:dyDescent="0.2">
      <c r="A292" s="47">
        <v>43143</v>
      </c>
      <c r="B292" s="47" t="s">
        <v>96</v>
      </c>
      <c r="C292" s="48">
        <f t="shared" si="74"/>
        <v>2542</v>
      </c>
      <c r="D292" s="99">
        <f t="shared" si="72"/>
        <v>976</v>
      </c>
      <c r="E292" s="45">
        <f t="shared" si="73"/>
        <v>1117.0000000000055</v>
      </c>
      <c r="F292" s="45">
        <f t="shared" si="75"/>
        <v>154</v>
      </c>
      <c r="G292" s="156">
        <f t="shared" si="76"/>
        <v>4789.0000000000055</v>
      </c>
      <c r="H292" s="77">
        <v>4536</v>
      </c>
      <c r="I292" s="77">
        <v>1101</v>
      </c>
      <c r="J292" s="158">
        <f t="shared" si="70"/>
        <v>5637</v>
      </c>
      <c r="K292" s="81">
        <f t="shared" si="77"/>
        <v>847.99999999999454</v>
      </c>
      <c r="L292" s="43"/>
      <c r="N292" s="112">
        <v>73567</v>
      </c>
      <c r="O292" s="112">
        <v>55292</v>
      </c>
      <c r="P292" s="112">
        <v>2185</v>
      </c>
      <c r="Q292" s="112"/>
      <c r="R292" s="112">
        <v>18275</v>
      </c>
      <c r="S292" s="113">
        <v>2027</v>
      </c>
      <c r="T292" s="113"/>
      <c r="U292" s="113"/>
      <c r="V292" s="112">
        <v>119265</v>
      </c>
      <c r="W292" s="112">
        <v>98918</v>
      </c>
      <c r="X292" s="112">
        <v>63925</v>
      </c>
      <c r="Y292" s="112">
        <v>92776</v>
      </c>
      <c r="Z292" s="112">
        <v>111092</v>
      </c>
    </row>
    <row r="293" spans="1:26" ht="18" hidden="1" customHeight="1" x14ac:dyDescent="0.2">
      <c r="A293" s="47">
        <v>43144</v>
      </c>
      <c r="B293" s="47" t="s">
        <v>97</v>
      </c>
      <c r="C293" s="48">
        <f t="shared" si="74"/>
        <v>2186</v>
      </c>
      <c r="D293" s="99">
        <f t="shared" si="72"/>
        <v>1824</v>
      </c>
      <c r="E293" s="45">
        <f t="shared" si="73"/>
        <v>927.99999999998909</v>
      </c>
      <c r="F293" s="45">
        <f t="shared" si="75"/>
        <v>155</v>
      </c>
      <c r="G293" s="156">
        <f t="shared" si="76"/>
        <v>5092.9999999999891</v>
      </c>
      <c r="H293" s="77">
        <v>4176</v>
      </c>
      <c r="I293" s="77">
        <v>1226</v>
      </c>
      <c r="J293" s="158">
        <f t="shared" si="70"/>
        <v>5402</v>
      </c>
      <c r="K293" s="81">
        <f t="shared" si="77"/>
        <v>309.00000000001091</v>
      </c>
      <c r="L293" s="43"/>
      <c r="N293" s="112">
        <v>73677</v>
      </c>
      <c r="O293" s="112">
        <v>55372</v>
      </c>
      <c r="P293" s="112">
        <v>2197</v>
      </c>
      <c r="Q293" s="112"/>
      <c r="R293" s="112">
        <v>18288</v>
      </c>
      <c r="S293" s="113">
        <v>2036.2</v>
      </c>
      <c r="T293" s="113"/>
      <c r="U293" s="113"/>
      <c r="V293" s="112">
        <v>119451</v>
      </c>
      <c r="W293" s="112">
        <v>98956</v>
      </c>
      <c r="X293" s="112">
        <v>64019</v>
      </c>
      <c r="Y293" s="112">
        <v>92778</v>
      </c>
      <c r="Z293" s="112">
        <v>111246</v>
      </c>
    </row>
    <row r="294" spans="1:26" ht="18" hidden="1" customHeight="1" x14ac:dyDescent="0.2">
      <c r="A294" s="47">
        <v>43145</v>
      </c>
      <c r="B294" s="47" t="s">
        <v>98</v>
      </c>
      <c r="C294" s="48">
        <f t="shared" si="74"/>
        <v>0</v>
      </c>
      <c r="D294" s="99">
        <f t="shared" si="72"/>
        <v>0</v>
      </c>
      <c r="E294" s="45">
        <f t="shared" si="73"/>
        <v>0</v>
      </c>
      <c r="F294" s="45">
        <f t="shared" si="75"/>
        <v>0</v>
      </c>
      <c r="G294" s="156">
        <f t="shared" si="76"/>
        <v>0</v>
      </c>
      <c r="H294" s="77">
        <v>2896</v>
      </c>
      <c r="I294" s="77">
        <v>1034</v>
      </c>
      <c r="J294" s="158">
        <f t="shared" si="70"/>
        <v>3930</v>
      </c>
      <c r="K294" s="81">
        <v>0</v>
      </c>
      <c r="L294" s="43"/>
      <c r="N294" s="112">
        <v>73897</v>
      </c>
      <c r="O294" s="112">
        <v>55454</v>
      </c>
      <c r="P294" s="112">
        <v>2205</v>
      </c>
      <c r="Q294" s="112"/>
      <c r="R294" s="112">
        <v>18304</v>
      </c>
      <c r="S294" s="113">
        <v>2043.8</v>
      </c>
      <c r="T294" s="113"/>
      <c r="U294" s="113"/>
      <c r="V294" s="112">
        <v>119621</v>
      </c>
      <c r="W294" s="112">
        <v>98986</v>
      </c>
      <c r="X294" s="112">
        <v>64107</v>
      </c>
      <c r="Y294" s="112">
        <v>92778</v>
      </c>
      <c r="Z294" s="112">
        <v>111401</v>
      </c>
    </row>
    <row r="295" spans="1:26" ht="18" hidden="1" customHeight="1" x14ac:dyDescent="0.2">
      <c r="A295" s="47">
        <v>43146</v>
      </c>
      <c r="B295" s="47" t="s">
        <v>99</v>
      </c>
      <c r="C295" s="48"/>
      <c r="D295" s="99">
        <f t="shared" si="72"/>
        <v>0</v>
      </c>
      <c r="E295" s="45">
        <f t="shared" si="73"/>
        <v>0</v>
      </c>
      <c r="F295" s="45">
        <f t="shared" si="75"/>
        <v>0</v>
      </c>
      <c r="G295" s="156">
        <f t="shared" si="76"/>
        <v>0</v>
      </c>
      <c r="H295" s="77">
        <v>0</v>
      </c>
      <c r="I295" s="77">
        <v>1837</v>
      </c>
      <c r="J295" s="158">
        <f t="shared" si="70"/>
        <v>1837</v>
      </c>
      <c r="K295" s="81">
        <v>0</v>
      </c>
      <c r="L295" s="43"/>
      <c r="N295" s="153">
        <v>73897</v>
      </c>
      <c r="O295" s="153">
        <v>55454</v>
      </c>
      <c r="P295" s="153">
        <v>2205</v>
      </c>
      <c r="Q295" s="153"/>
      <c r="R295" s="153">
        <v>18304</v>
      </c>
      <c r="S295" s="154">
        <v>2043.8</v>
      </c>
      <c r="T295" s="154"/>
      <c r="U295" s="154"/>
      <c r="V295" s="153">
        <v>119621</v>
      </c>
      <c r="W295" s="153">
        <v>98986</v>
      </c>
      <c r="X295" s="153">
        <v>64107</v>
      </c>
      <c r="Y295" s="153">
        <v>92778</v>
      </c>
      <c r="Z295" s="153">
        <v>111401</v>
      </c>
    </row>
    <row r="296" spans="1:26" ht="18" hidden="1" customHeight="1" x14ac:dyDescent="0.2">
      <c r="A296" s="47">
        <v>43147</v>
      </c>
      <c r="B296" s="47" t="s">
        <v>100</v>
      </c>
      <c r="C296" s="48"/>
      <c r="D296" s="99">
        <f t="shared" si="72"/>
        <v>0</v>
      </c>
      <c r="E296" s="45">
        <f t="shared" si="73"/>
        <v>0</v>
      </c>
      <c r="F296" s="45">
        <f t="shared" si="75"/>
        <v>0</v>
      </c>
      <c r="G296" s="156">
        <f t="shared" si="76"/>
        <v>0</v>
      </c>
      <c r="H296" s="77">
        <v>0</v>
      </c>
      <c r="I296" s="77">
        <v>2352</v>
      </c>
      <c r="J296" s="158">
        <f t="shared" si="70"/>
        <v>2352</v>
      </c>
      <c r="K296" s="81">
        <v>0</v>
      </c>
      <c r="L296" s="43"/>
      <c r="N296" s="153">
        <v>73897</v>
      </c>
      <c r="O296" s="153">
        <v>55454</v>
      </c>
      <c r="P296" s="153">
        <v>2205</v>
      </c>
      <c r="Q296" s="153"/>
      <c r="R296" s="153">
        <v>18304</v>
      </c>
      <c r="S296" s="154">
        <v>2043.8</v>
      </c>
      <c r="T296" s="154"/>
      <c r="U296" s="154"/>
      <c r="V296" s="153">
        <v>119621</v>
      </c>
      <c r="W296" s="153">
        <v>98986</v>
      </c>
      <c r="X296" s="153">
        <v>64107</v>
      </c>
      <c r="Y296" s="153">
        <v>92778</v>
      </c>
      <c r="Z296" s="153">
        <v>111401</v>
      </c>
    </row>
    <row r="297" spans="1:26" ht="18" hidden="1" customHeight="1" x14ac:dyDescent="0.2">
      <c r="A297" s="47">
        <v>43148</v>
      </c>
      <c r="B297" s="47" t="s">
        <v>101</v>
      </c>
      <c r="C297" s="48"/>
      <c r="D297" s="99">
        <f t="shared" si="72"/>
        <v>0</v>
      </c>
      <c r="E297" s="45">
        <f t="shared" si="73"/>
        <v>0</v>
      </c>
      <c r="F297" s="45">
        <f t="shared" si="75"/>
        <v>0</v>
      </c>
      <c r="G297" s="156">
        <f t="shared" si="76"/>
        <v>0</v>
      </c>
      <c r="H297" s="77">
        <v>0</v>
      </c>
      <c r="I297" s="77">
        <v>2741</v>
      </c>
      <c r="J297" s="158">
        <f t="shared" si="70"/>
        <v>2741</v>
      </c>
      <c r="K297" s="81">
        <v>0</v>
      </c>
      <c r="L297" s="43"/>
      <c r="N297" s="153">
        <v>73897</v>
      </c>
      <c r="O297" s="153">
        <v>55454</v>
      </c>
      <c r="P297" s="153">
        <v>2205</v>
      </c>
      <c r="Q297" s="153"/>
      <c r="R297" s="153">
        <v>18304</v>
      </c>
      <c r="S297" s="154">
        <v>2043.8</v>
      </c>
      <c r="T297" s="154"/>
      <c r="U297" s="154"/>
      <c r="V297" s="153">
        <v>119621</v>
      </c>
      <c r="W297" s="153">
        <v>98986</v>
      </c>
      <c r="X297" s="153">
        <v>64107</v>
      </c>
      <c r="Y297" s="153">
        <v>92778</v>
      </c>
      <c r="Z297" s="153">
        <v>111401</v>
      </c>
    </row>
    <row r="298" spans="1:26" ht="18" hidden="1" customHeight="1" x14ac:dyDescent="0.2">
      <c r="A298" s="47">
        <v>43149</v>
      </c>
      <c r="B298" s="47" t="s">
        <v>95</v>
      </c>
      <c r="C298" s="48"/>
      <c r="D298" s="99">
        <f t="shared" si="72"/>
        <v>0</v>
      </c>
      <c r="E298" s="45">
        <f t="shared" si="73"/>
        <v>0</v>
      </c>
      <c r="F298" s="45">
        <f t="shared" si="75"/>
        <v>0</v>
      </c>
      <c r="G298" s="156">
        <f t="shared" si="76"/>
        <v>0</v>
      </c>
      <c r="H298" s="77">
        <v>0</v>
      </c>
      <c r="I298" s="77">
        <v>2902</v>
      </c>
      <c r="J298" s="158">
        <f t="shared" si="70"/>
        <v>2902</v>
      </c>
      <c r="K298" s="81">
        <v>0</v>
      </c>
      <c r="L298" s="43"/>
      <c r="N298" s="153">
        <v>73897</v>
      </c>
      <c r="O298" s="153">
        <v>55454</v>
      </c>
      <c r="P298" s="153">
        <v>2205</v>
      </c>
      <c r="Q298" s="153"/>
      <c r="R298" s="153">
        <v>18304</v>
      </c>
      <c r="S298" s="154">
        <v>2043.8</v>
      </c>
      <c r="T298" s="154"/>
      <c r="U298" s="154"/>
      <c r="V298" s="153">
        <v>119621</v>
      </c>
      <c r="W298" s="153">
        <v>98986</v>
      </c>
      <c r="X298" s="153">
        <v>64107</v>
      </c>
      <c r="Y298" s="153">
        <v>92778</v>
      </c>
      <c r="Z298" s="153">
        <v>111401</v>
      </c>
    </row>
    <row r="299" spans="1:26" ht="18" hidden="1" customHeight="1" x14ac:dyDescent="0.2">
      <c r="A299" s="47">
        <v>43150</v>
      </c>
      <c r="B299" s="47" t="s">
        <v>96</v>
      </c>
      <c r="C299" s="48"/>
      <c r="D299" s="99">
        <f t="shared" si="72"/>
        <v>0</v>
      </c>
      <c r="E299" s="45">
        <f t="shared" si="73"/>
        <v>0</v>
      </c>
      <c r="F299" s="45">
        <f t="shared" si="75"/>
        <v>0</v>
      </c>
      <c r="G299" s="156">
        <f t="shared" si="76"/>
        <v>0</v>
      </c>
      <c r="H299" s="77">
        <v>0</v>
      </c>
      <c r="I299" s="77">
        <v>2936</v>
      </c>
      <c r="J299" s="158">
        <f t="shared" si="70"/>
        <v>2936</v>
      </c>
      <c r="K299" s="81">
        <v>0</v>
      </c>
      <c r="L299" s="43"/>
      <c r="N299" s="153">
        <v>73897</v>
      </c>
      <c r="O299" s="153">
        <v>55454</v>
      </c>
      <c r="P299" s="153">
        <v>2205</v>
      </c>
      <c r="Q299" s="153"/>
      <c r="R299" s="153">
        <v>18304</v>
      </c>
      <c r="S299" s="154">
        <v>2043.8</v>
      </c>
      <c r="T299" s="154"/>
      <c r="U299" s="154"/>
      <c r="V299" s="153">
        <v>119621</v>
      </c>
      <c r="W299" s="153">
        <v>98986</v>
      </c>
      <c r="X299" s="153">
        <v>64107</v>
      </c>
      <c r="Y299" s="153">
        <v>92778</v>
      </c>
      <c r="Z299" s="153">
        <v>111401</v>
      </c>
    </row>
    <row r="300" spans="1:26" ht="18" hidden="1" customHeight="1" x14ac:dyDescent="0.2">
      <c r="A300" s="47">
        <v>43151</v>
      </c>
      <c r="B300" s="47" t="s">
        <v>97</v>
      </c>
      <c r="C300" s="48">
        <f t="shared" si="74"/>
        <v>2989</v>
      </c>
      <c r="D300" s="99">
        <f t="shared" si="72"/>
        <v>7448</v>
      </c>
      <c r="E300" s="45">
        <f t="shared" si="73"/>
        <v>7187.9999999999836</v>
      </c>
      <c r="F300" s="45">
        <f t="shared" si="75"/>
        <v>723</v>
      </c>
      <c r="G300" s="156">
        <f t="shared" si="76"/>
        <v>18347.999999999985</v>
      </c>
      <c r="H300" s="77">
        <v>0</v>
      </c>
      <c r="I300" s="77">
        <v>2792</v>
      </c>
      <c r="J300" s="158">
        <f t="shared" si="70"/>
        <v>2792</v>
      </c>
      <c r="K300" s="81">
        <f>J294+J295+J296+J297+J298+J299+J300-G300</f>
        <v>1142.0000000000146</v>
      </c>
      <c r="L300" s="43"/>
      <c r="N300" s="153">
        <v>73897</v>
      </c>
      <c r="O300" s="153">
        <v>55454</v>
      </c>
      <c r="P300" s="153">
        <v>2205</v>
      </c>
      <c r="Q300" s="153"/>
      <c r="R300" s="153">
        <v>18304</v>
      </c>
      <c r="S300" s="154">
        <v>2043.8</v>
      </c>
      <c r="T300" s="154"/>
      <c r="U300" s="154"/>
      <c r="V300" s="153">
        <v>119621</v>
      </c>
      <c r="W300" s="153">
        <v>98986</v>
      </c>
      <c r="X300" s="153">
        <v>64107</v>
      </c>
      <c r="Y300" s="153">
        <v>92778</v>
      </c>
      <c r="Z300" s="153">
        <v>111401</v>
      </c>
    </row>
    <row r="301" spans="1:26" ht="18" hidden="1" customHeight="1" x14ac:dyDescent="0.2">
      <c r="A301" s="47">
        <v>43152</v>
      </c>
      <c r="B301" s="47" t="s">
        <v>98</v>
      </c>
      <c r="C301" s="48">
        <f t="shared" si="74"/>
        <v>2251</v>
      </c>
      <c r="D301" s="99">
        <f t="shared" si="72"/>
        <v>1760</v>
      </c>
      <c r="E301" s="45">
        <f t="shared" si="73"/>
        <v>989.00000000004366</v>
      </c>
      <c r="F301" s="45">
        <f t="shared" si="75"/>
        <v>128</v>
      </c>
      <c r="G301" s="156">
        <f t="shared" si="76"/>
        <v>5128.0000000000437</v>
      </c>
      <c r="H301" s="77">
        <v>4167</v>
      </c>
      <c r="I301" s="77">
        <v>778</v>
      </c>
      <c r="J301" s="158">
        <f t="shared" si="70"/>
        <v>4945</v>
      </c>
      <c r="K301" s="81">
        <f t="shared" si="77"/>
        <v>-183.00000000004366</v>
      </c>
      <c r="L301" s="43"/>
      <c r="N301" s="112">
        <v>74777</v>
      </c>
      <c r="O301" s="112">
        <v>55783</v>
      </c>
      <c r="P301" s="112">
        <v>2256</v>
      </c>
      <c r="Q301" s="112"/>
      <c r="R301" s="112">
        <v>18424</v>
      </c>
      <c r="S301" s="113">
        <v>2102.6999999999998</v>
      </c>
      <c r="T301" s="113"/>
      <c r="U301" s="113"/>
      <c r="V301" s="112">
        <v>120378</v>
      </c>
      <c r="W301" s="112">
        <v>99052</v>
      </c>
      <c r="X301" s="112">
        <v>64117</v>
      </c>
      <c r="Y301" s="112">
        <v>92778</v>
      </c>
      <c r="Z301" s="112">
        <v>112124</v>
      </c>
    </row>
    <row r="302" spans="1:26" ht="18" hidden="1" customHeight="1" x14ac:dyDescent="0.2">
      <c r="A302" s="47">
        <v>43153</v>
      </c>
      <c r="B302" s="47" t="s">
        <v>99</v>
      </c>
      <c r="C302" s="48">
        <f t="shared" si="74"/>
        <v>2075</v>
      </c>
      <c r="D302" s="99">
        <f t="shared" si="72"/>
        <v>1800</v>
      </c>
      <c r="E302" s="45">
        <f t="shared" si="73"/>
        <v>832.99999999996726</v>
      </c>
      <c r="F302" s="45">
        <f t="shared" si="75"/>
        <v>120</v>
      </c>
      <c r="G302" s="156">
        <f t="shared" si="76"/>
        <v>4827.9999999999673</v>
      </c>
      <c r="H302" s="77">
        <v>3967</v>
      </c>
      <c r="I302" s="77">
        <v>1007</v>
      </c>
      <c r="J302" s="158">
        <f t="shared" si="70"/>
        <v>4974</v>
      </c>
      <c r="K302" s="81">
        <f t="shared" si="77"/>
        <v>146.00000000003274</v>
      </c>
      <c r="L302" s="43"/>
      <c r="N302" s="112">
        <v>74987</v>
      </c>
      <c r="O302" s="112">
        <v>55862</v>
      </c>
      <c r="P302" s="112">
        <v>2266</v>
      </c>
      <c r="Q302" s="112"/>
      <c r="R302" s="112">
        <v>18441</v>
      </c>
      <c r="S302" s="113">
        <v>2110.8000000000002</v>
      </c>
      <c r="T302" s="113"/>
      <c r="U302" s="113"/>
      <c r="V302" s="112">
        <v>120553</v>
      </c>
      <c r="W302" s="112">
        <v>99085</v>
      </c>
      <c r="X302" s="112">
        <v>64202</v>
      </c>
      <c r="Y302" s="112">
        <v>92778</v>
      </c>
      <c r="Z302" s="112">
        <v>112252</v>
      </c>
    </row>
    <row r="303" spans="1:26" ht="18" hidden="1" customHeight="1" x14ac:dyDescent="0.2">
      <c r="A303" s="47">
        <v>43154</v>
      </c>
      <c r="B303" s="47" t="s">
        <v>100</v>
      </c>
      <c r="C303" s="48">
        <f t="shared" si="74"/>
        <v>2289</v>
      </c>
      <c r="D303" s="99">
        <f t="shared" si="72"/>
        <v>3424</v>
      </c>
      <c r="E303" s="45">
        <f t="shared" si="73"/>
        <v>1133.0000000000218</v>
      </c>
      <c r="F303" s="45">
        <f t="shared" si="75"/>
        <v>119</v>
      </c>
      <c r="G303" s="156">
        <f t="shared" si="76"/>
        <v>6965.0000000000218</v>
      </c>
      <c r="H303" s="77">
        <v>4639</v>
      </c>
      <c r="I303" s="77">
        <v>1068</v>
      </c>
      <c r="J303" s="158">
        <f t="shared" si="70"/>
        <v>5707</v>
      </c>
      <c r="K303" s="81">
        <f t="shared" si="77"/>
        <v>-1258.0000000000218</v>
      </c>
      <c r="L303" s="43"/>
      <c r="N303" s="112">
        <v>75207</v>
      </c>
      <c r="O303" s="112">
        <v>55941</v>
      </c>
      <c r="P303" s="112">
        <v>2271</v>
      </c>
      <c r="Q303" s="112"/>
      <c r="R303" s="112">
        <v>18458</v>
      </c>
      <c r="S303" s="113">
        <v>2117.6</v>
      </c>
      <c r="T303" s="113"/>
      <c r="U303" s="113"/>
      <c r="V303" s="112">
        <v>120724</v>
      </c>
      <c r="W303" s="112">
        <v>99116</v>
      </c>
      <c r="X303" s="112">
        <v>64278</v>
      </c>
      <c r="Y303" s="112">
        <v>92778</v>
      </c>
      <c r="Z303" s="112">
        <v>112372</v>
      </c>
    </row>
    <row r="304" spans="1:26" ht="18" hidden="1" customHeight="1" x14ac:dyDescent="0.2">
      <c r="A304" s="47">
        <v>43155</v>
      </c>
      <c r="B304" s="56" t="s">
        <v>103</v>
      </c>
      <c r="C304" s="48"/>
      <c r="D304" s="99">
        <f t="shared" si="72"/>
        <v>0</v>
      </c>
      <c r="E304" s="45">
        <f t="shared" si="73"/>
        <v>0</v>
      </c>
      <c r="F304" s="45">
        <f t="shared" si="75"/>
        <v>0</v>
      </c>
      <c r="G304" s="156">
        <f t="shared" si="76"/>
        <v>0</v>
      </c>
      <c r="H304" s="77">
        <v>3689</v>
      </c>
      <c r="I304" s="77">
        <v>1059</v>
      </c>
      <c r="J304" s="158">
        <f t="shared" si="70"/>
        <v>4748</v>
      </c>
      <c r="K304" s="81">
        <v>0</v>
      </c>
      <c r="L304" s="43"/>
      <c r="N304" s="112">
        <v>75617</v>
      </c>
      <c r="O304" s="112">
        <v>56024</v>
      </c>
      <c r="P304" s="112">
        <v>2289</v>
      </c>
      <c r="Q304" s="112"/>
      <c r="R304" s="112">
        <v>18475</v>
      </c>
      <c r="S304" s="113">
        <v>2126.9</v>
      </c>
      <c r="T304" s="113"/>
      <c r="U304" s="113"/>
      <c r="V304" s="112">
        <v>120901</v>
      </c>
      <c r="W304" s="112">
        <v>99152</v>
      </c>
      <c r="X304" s="112">
        <v>64358</v>
      </c>
      <c r="Y304" s="112">
        <v>92778</v>
      </c>
      <c r="Z304" s="112">
        <v>112491</v>
      </c>
    </row>
    <row r="305" spans="1:26" ht="18" hidden="1" customHeight="1" x14ac:dyDescent="0.2">
      <c r="A305" s="47">
        <v>43156</v>
      </c>
      <c r="B305" s="56" t="s">
        <v>104</v>
      </c>
      <c r="C305" s="48">
        <f t="shared" si="74"/>
        <v>2180</v>
      </c>
      <c r="D305" s="99">
        <f t="shared" si="72"/>
        <v>1944</v>
      </c>
      <c r="E305" s="45">
        <f t="shared" si="73"/>
        <v>2048.9999999999673</v>
      </c>
      <c r="F305" s="45">
        <f t="shared" si="75"/>
        <v>254</v>
      </c>
      <c r="G305" s="156">
        <f t="shared" si="76"/>
        <v>6426.9999999999673</v>
      </c>
      <c r="H305" s="77">
        <v>0</v>
      </c>
      <c r="I305" s="77">
        <v>3516</v>
      </c>
      <c r="J305" s="158">
        <f t="shared" si="70"/>
        <v>3516</v>
      </c>
      <c r="K305" s="81">
        <f>J304+J305-G305</f>
        <v>1837.0000000000327</v>
      </c>
      <c r="L305" s="43"/>
      <c r="N305" s="153">
        <v>75617</v>
      </c>
      <c r="O305" s="153">
        <v>56024</v>
      </c>
      <c r="P305" s="153">
        <v>2289</v>
      </c>
      <c r="Q305" s="153"/>
      <c r="R305" s="153">
        <v>18475</v>
      </c>
      <c r="S305" s="154">
        <v>2126.9</v>
      </c>
      <c r="T305" s="154"/>
      <c r="U305" s="154"/>
      <c r="V305" s="153">
        <v>120901</v>
      </c>
      <c r="W305" s="153">
        <v>99152</v>
      </c>
      <c r="X305" s="153">
        <v>64358</v>
      </c>
      <c r="Y305" s="153">
        <v>92778</v>
      </c>
      <c r="Z305" s="153">
        <v>112491</v>
      </c>
    </row>
    <row r="306" spans="1:26" ht="18" hidden="1" customHeight="1" x14ac:dyDescent="0.2">
      <c r="A306" s="47">
        <v>43157</v>
      </c>
      <c r="B306" s="47" t="s">
        <v>96</v>
      </c>
      <c r="C306" s="48">
        <f t="shared" si="74"/>
        <v>2233</v>
      </c>
      <c r="D306" s="99">
        <f t="shared" si="72"/>
        <v>1760</v>
      </c>
      <c r="E306" s="45">
        <f t="shared" si="73"/>
        <v>1156</v>
      </c>
      <c r="F306" s="45">
        <f t="shared" si="75"/>
        <v>123</v>
      </c>
      <c r="G306" s="156">
        <f t="shared" si="76"/>
        <v>5272</v>
      </c>
      <c r="H306" s="77">
        <v>4441</v>
      </c>
      <c r="I306" s="77">
        <v>1006</v>
      </c>
      <c r="J306" s="158">
        <f t="shared" si="70"/>
        <v>5447</v>
      </c>
      <c r="K306" s="81">
        <f t="shared" si="77"/>
        <v>175</v>
      </c>
      <c r="L306" s="43"/>
      <c r="N306" s="112">
        <v>75847</v>
      </c>
      <c r="O306" s="112">
        <v>56184</v>
      </c>
      <c r="P306" s="112">
        <v>2302</v>
      </c>
      <c r="Q306" s="112"/>
      <c r="R306" s="112">
        <v>18508</v>
      </c>
      <c r="S306" s="113">
        <v>2143.6999999999998</v>
      </c>
      <c r="T306" s="113"/>
      <c r="U306" s="113"/>
      <c r="V306" s="112">
        <v>121221</v>
      </c>
      <c r="W306" s="112">
        <v>99188</v>
      </c>
      <c r="X306" s="112">
        <v>64417</v>
      </c>
      <c r="Y306" s="112">
        <v>92778</v>
      </c>
      <c r="Z306" s="112">
        <v>112745</v>
      </c>
    </row>
    <row r="307" spans="1:26" ht="18" hidden="1" customHeight="1" x14ac:dyDescent="0.2">
      <c r="A307" s="47">
        <v>43158</v>
      </c>
      <c r="B307" s="47" t="s">
        <v>97</v>
      </c>
      <c r="C307" s="48">
        <f t="shared" si="74"/>
        <v>0</v>
      </c>
      <c r="D307" s="99">
        <f t="shared" si="72"/>
        <v>0</v>
      </c>
      <c r="E307" s="45">
        <f t="shared" si="73"/>
        <v>0</v>
      </c>
      <c r="F307" s="45">
        <f t="shared" si="75"/>
        <v>0</v>
      </c>
      <c r="G307" s="156">
        <f t="shared" si="76"/>
        <v>0</v>
      </c>
      <c r="H307" s="77">
        <v>4016</v>
      </c>
      <c r="I307" s="77">
        <v>977</v>
      </c>
      <c r="J307" s="158">
        <f t="shared" si="70"/>
        <v>4993</v>
      </c>
      <c r="K307" s="81">
        <v>0</v>
      </c>
      <c r="L307" s="43"/>
      <c r="N307" s="112">
        <v>76057</v>
      </c>
      <c r="O307" s="112">
        <v>56264</v>
      </c>
      <c r="P307" s="112">
        <v>2312</v>
      </c>
      <c r="Q307" s="112"/>
      <c r="R307" s="112">
        <v>18524</v>
      </c>
      <c r="S307" s="113">
        <v>2153.1999999999998</v>
      </c>
      <c r="T307" s="113"/>
      <c r="U307" s="113"/>
      <c r="V307" s="112">
        <v>121398</v>
      </c>
      <c r="W307" s="112">
        <v>99220</v>
      </c>
      <c r="X307" s="112">
        <v>64503</v>
      </c>
      <c r="Y307" s="112">
        <v>92778</v>
      </c>
      <c r="Z307" s="112">
        <v>112868</v>
      </c>
    </row>
    <row r="308" spans="1:26" ht="18" hidden="1" customHeight="1" x14ac:dyDescent="0.2">
      <c r="A308" s="47">
        <v>43159</v>
      </c>
      <c r="B308" s="47" t="s">
        <v>98</v>
      </c>
      <c r="C308" s="48">
        <f t="shared" si="74"/>
        <v>3823</v>
      </c>
      <c r="D308" s="99">
        <f t="shared" si="72"/>
        <v>2872</v>
      </c>
      <c r="E308" s="45">
        <f t="shared" si="73"/>
        <v>1939.0000000000109</v>
      </c>
      <c r="F308" s="45">
        <f t="shared" si="75"/>
        <v>244</v>
      </c>
      <c r="G308" s="156">
        <f t="shared" si="76"/>
        <v>8878.0000000000109</v>
      </c>
      <c r="H308" s="77">
        <v>0</v>
      </c>
      <c r="I308" s="77">
        <v>4152</v>
      </c>
      <c r="J308" s="158">
        <f t="shared" si="70"/>
        <v>4152</v>
      </c>
      <c r="K308" s="81">
        <f>J307+J308-G308</f>
        <v>266.99999999998909</v>
      </c>
      <c r="L308" s="43"/>
      <c r="N308" s="153">
        <v>76057</v>
      </c>
      <c r="O308" s="153">
        <v>56264</v>
      </c>
      <c r="P308" s="153">
        <v>2312</v>
      </c>
      <c r="Q308" s="153"/>
      <c r="R308" s="153">
        <v>18524</v>
      </c>
      <c r="S308" s="154">
        <v>2153.1999999999998</v>
      </c>
      <c r="T308" s="154"/>
      <c r="U308" s="154"/>
      <c r="V308" s="153">
        <v>121398</v>
      </c>
      <c r="W308" s="153">
        <v>99220</v>
      </c>
      <c r="X308" s="153">
        <v>64503</v>
      </c>
      <c r="Y308" s="153">
        <v>92778</v>
      </c>
      <c r="Z308" s="153">
        <v>112868</v>
      </c>
    </row>
    <row r="309" spans="1:26" ht="18" hidden="1" customHeight="1" x14ac:dyDescent="0.2">
      <c r="A309" s="46">
        <v>43160</v>
      </c>
      <c r="B309" s="47" t="s">
        <v>99</v>
      </c>
      <c r="C309" s="48">
        <f t="shared" si="74"/>
        <v>2131</v>
      </c>
      <c r="D309" s="99">
        <f t="shared" si="72"/>
        <v>1672</v>
      </c>
      <c r="E309" s="45">
        <f t="shared" si="73"/>
        <v>940.00000000003274</v>
      </c>
      <c r="F309" s="45">
        <f t="shared" si="75"/>
        <v>102</v>
      </c>
      <c r="G309" s="79">
        <f t="shared" si="76"/>
        <v>4845.0000000000327</v>
      </c>
      <c r="H309" s="77">
        <v>4205</v>
      </c>
      <c r="I309" s="77">
        <v>989</v>
      </c>
      <c r="J309" s="158">
        <f t="shared" si="70"/>
        <v>5194</v>
      </c>
      <c r="K309" s="81">
        <f t="shared" si="77"/>
        <v>348.99999999996726</v>
      </c>
      <c r="L309" s="43"/>
      <c r="N309" s="112">
        <v>76397</v>
      </c>
      <c r="O309" s="112">
        <v>56394</v>
      </c>
      <c r="P309" s="112">
        <v>2331</v>
      </c>
      <c r="Q309" s="112"/>
      <c r="R309" s="112">
        <v>18555</v>
      </c>
      <c r="S309" s="113">
        <v>2169.1</v>
      </c>
      <c r="T309" s="113"/>
      <c r="U309" s="113"/>
      <c r="V309" s="112">
        <v>121737</v>
      </c>
      <c r="W309" s="112">
        <v>99276</v>
      </c>
      <c r="X309" s="112">
        <v>64644</v>
      </c>
      <c r="Y309" s="112">
        <v>92778</v>
      </c>
      <c r="Z309" s="112">
        <v>113112</v>
      </c>
    </row>
    <row r="310" spans="1:26" ht="18" hidden="1" customHeight="1" x14ac:dyDescent="0.2">
      <c r="A310" s="46">
        <v>43161</v>
      </c>
      <c r="B310" s="47" t="s">
        <v>100</v>
      </c>
      <c r="C310" s="48">
        <f t="shared" si="74"/>
        <v>0</v>
      </c>
      <c r="D310" s="99">
        <f t="shared" si="72"/>
        <v>0</v>
      </c>
      <c r="E310" s="45">
        <f t="shared" si="73"/>
        <v>0</v>
      </c>
      <c r="F310" s="45">
        <f t="shared" si="75"/>
        <v>0</v>
      </c>
      <c r="G310" s="79">
        <f t="shared" si="76"/>
        <v>0</v>
      </c>
      <c r="H310" s="77">
        <v>3949</v>
      </c>
      <c r="I310" s="77">
        <v>972</v>
      </c>
      <c r="J310" s="158">
        <f t="shared" si="70"/>
        <v>4921</v>
      </c>
      <c r="K310" s="81">
        <v>0</v>
      </c>
      <c r="L310" s="43"/>
      <c r="N310" s="112">
        <v>76597</v>
      </c>
      <c r="O310" s="112">
        <v>56470</v>
      </c>
      <c r="P310" s="112">
        <v>2340</v>
      </c>
      <c r="Q310" s="112"/>
      <c r="R310" s="112">
        <v>18571</v>
      </c>
      <c r="S310" s="113">
        <v>2176.8000000000002</v>
      </c>
      <c r="T310" s="113"/>
      <c r="U310" s="113"/>
      <c r="V310" s="112">
        <v>121768</v>
      </c>
      <c r="W310" s="112">
        <v>99312</v>
      </c>
      <c r="X310" s="112">
        <v>64723</v>
      </c>
      <c r="Y310" s="112">
        <v>92778</v>
      </c>
      <c r="Z310" s="112">
        <v>113214</v>
      </c>
    </row>
    <row r="311" spans="1:26" ht="18" hidden="1" customHeight="1" x14ac:dyDescent="0.2">
      <c r="A311" s="46">
        <v>43162</v>
      </c>
      <c r="B311" s="47" t="s">
        <v>101</v>
      </c>
      <c r="C311" s="48">
        <f t="shared" si="74"/>
        <v>0</v>
      </c>
      <c r="D311" s="99">
        <f t="shared" si="72"/>
        <v>0</v>
      </c>
      <c r="E311" s="45">
        <f t="shared" si="73"/>
        <v>0</v>
      </c>
      <c r="F311" s="45">
        <f t="shared" si="75"/>
        <v>0</v>
      </c>
      <c r="G311" s="79">
        <f t="shared" si="76"/>
        <v>0</v>
      </c>
      <c r="H311" s="77">
        <v>0</v>
      </c>
      <c r="I311" s="77">
        <v>3367</v>
      </c>
      <c r="J311" s="158">
        <f t="shared" si="70"/>
        <v>3367</v>
      </c>
      <c r="K311" s="81">
        <v>0</v>
      </c>
      <c r="L311" s="43"/>
      <c r="N311" s="160">
        <v>76597</v>
      </c>
      <c r="O311" s="160">
        <v>56470</v>
      </c>
      <c r="P311" s="160">
        <v>2340</v>
      </c>
      <c r="Q311" s="160"/>
      <c r="R311" s="160">
        <v>18571</v>
      </c>
      <c r="S311" s="161">
        <v>2176.8000000000002</v>
      </c>
      <c r="T311" s="161"/>
      <c r="U311" s="161"/>
      <c r="V311" s="160">
        <v>121768</v>
      </c>
      <c r="W311" s="160">
        <v>99312</v>
      </c>
      <c r="X311" s="160">
        <v>64723</v>
      </c>
      <c r="Y311" s="160">
        <v>92778</v>
      </c>
      <c r="Z311" s="160">
        <v>113214</v>
      </c>
    </row>
    <row r="312" spans="1:26" ht="18" hidden="1" customHeight="1" x14ac:dyDescent="0.2">
      <c r="A312" s="46">
        <v>43163</v>
      </c>
      <c r="B312" s="47" t="s">
        <v>95</v>
      </c>
      <c r="C312" s="48">
        <f t="shared" si="74"/>
        <v>4915</v>
      </c>
      <c r="D312" s="99">
        <f t="shared" si="72"/>
        <v>3544</v>
      </c>
      <c r="E312" s="45">
        <f t="shared" si="73"/>
        <v>2736.9999999999563</v>
      </c>
      <c r="F312" s="45">
        <f t="shared" si="75"/>
        <v>242</v>
      </c>
      <c r="G312" s="79">
        <f t="shared" si="76"/>
        <v>11437.999999999956</v>
      </c>
      <c r="H312" s="77">
        <v>0</v>
      </c>
      <c r="I312" s="77">
        <v>2748</v>
      </c>
      <c r="J312" s="158">
        <f t="shared" si="70"/>
        <v>2748</v>
      </c>
      <c r="K312" s="81">
        <f>J310+J311+J312-G312</f>
        <v>-401.99999999995634</v>
      </c>
      <c r="L312" s="43"/>
      <c r="N312" s="160">
        <v>76597</v>
      </c>
      <c r="O312" s="160">
        <v>56470</v>
      </c>
      <c r="P312" s="160">
        <v>2340</v>
      </c>
      <c r="Q312" s="160"/>
      <c r="R312" s="160">
        <v>18571</v>
      </c>
      <c r="S312" s="161">
        <v>2176.8000000000002</v>
      </c>
      <c r="T312" s="161"/>
      <c r="U312" s="161"/>
      <c r="V312" s="160">
        <v>121768</v>
      </c>
      <c r="W312" s="160">
        <v>99312</v>
      </c>
      <c r="X312" s="160">
        <v>64723</v>
      </c>
      <c r="Y312" s="160">
        <v>92778</v>
      </c>
      <c r="Z312" s="160">
        <v>113214</v>
      </c>
    </row>
    <row r="313" spans="1:26" ht="18" hidden="1" customHeight="1" x14ac:dyDescent="0.2">
      <c r="A313" s="46">
        <v>43164</v>
      </c>
      <c r="B313" s="47" t="s">
        <v>96</v>
      </c>
      <c r="C313" s="48">
        <f t="shared" si="74"/>
        <v>2410</v>
      </c>
      <c r="D313" s="99">
        <f t="shared" si="72"/>
        <v>1544</v>
      </c>
      <c r="E313" s="45">
        <f t="shared" si="73"/>
        <v>1097</v>
      </c>
      <c r="F313" s="45">
        <f t="shared" si="75"/>
        <v>87</v>
      </c>
      <c r="G313" s="79">
        <f t="shared" si="76"/>
        <v>5138</v>
      </c>
      <c r="H313" s="77">
        <v>4307</v>
      </c>
      <c r="I313" s="77">
        <v>869</v>
      </c>
      <c r="J313" s="158">
        <f t="shared" si="70"/>
        <v>5176</v>
      </c>
      <c r="K313" s="81">
        <f t="shared" si="77"/>
        <v>38</v>
      </c>
      <c r="L313" s="43"/>
      <c r="N313" s="112">
        <v>77017</v>
      </c>
      <c r="O313" s="112">
        <v>56624</v>
      </c>
      <c r="P313" s="112">
        <v>2363</v>
      </c>
      <c r="Q313" s="112"/>
      <c r="R313" s="112">
        <v>18620</v>
      </c>
      <c r="S313" s="113">
        <v>2199.1999999999998</v>
      </c>
      <c r="T313" s="113"/>
      <c r="U313" s="113"/>
      <c r="V313" s="112">
        <v>122411</v>
      </c>
      <c r="W313" s="112">
        <v>99393</v>
      </c>
      <c r="X313" s="112">
        <v>64863</v>
      </c>
      <c r="Y313" s="112">
        <v>92778</v>
      </c>
      <c r="Z313" s="112">
        <v>113456</v>
      </c>
    </row>
    <row r="314" spans="1:26" ht="18" hidden="1" customHeight="1" x14ac:dyDescent="0.2">
      <c r="A314" s="46">
        <v>43165</v>
      </c>
      <c r="B314" s="47" t="s">
        <v>97</v>
      </c>
      <c r="C314" s="48">
        <f t="shared" si="74"/>
        <v>2329</v>
      </c>
      <c r="D314" s="99">
        <f t="shared" si="72"/>
        <v>1568</v>
      </c>
      <c r="E314" s="45">
        <f t="shared" si="73"/>
        <v>998.00000000003274</v>
      </c>
      <c r="F314" s="45">
        <f t="shared" si="75"/>
        <v>99</v>
      </c>
      <c r="G314" s="79">
        <f t="shared" si="76"/>
        <v>4994.0000000000327</v>
      </c>
      <c r="H314" s="77">
        <v>4345</v>
      </c>
      <c r="I314" s="77">
        <v>959</v>
      </c>
      <c r="J314" s="158">
        <f t="shared" si="70"/>
        <v>5304</v>
      </c>
      <c r="K314" s="81">
        <f t="shared" si="77"/>
        <v>309.99999999996726</v>
      </c>
      <c r="L314" s="43"/>
      <c r="N314" s="112">
        <v>77197</v>
      </c>
      <c r="O314" s="112">
        <v>56696</v>
      </c>
      <c r="P314" s="112">
        <v>2376</v>
      </c>
      <c r="Q314" s="112"/>
      <c r="R314" s="112">
        <v>18637</v>
      </c>
      <c r="S314" s="113">
        <v>2208.1999999999998</v>
      </c>
      <c r="T314" s="113"/>
      <c r="U314" s="113"/>
      <c r="V314" s="112">
        <v>122601</v>
      </c>
      <c r="W314" s="112">
        <v>99432</v>
      </c>
      <c r="X314" s="112">
        <v>64944</v>
      </c>
      <c r="Y314" s="112">
        <v>92778</v>
      </c>
      <c r="Z314" s="112">
        <v>113543</v>
      </c>
    </row>
    <row r="315" spans="1:26" ht="18" hidden="1" customHeight="1" x14ac:dyDescent="0.2">
      <c r="A315" s="46">
        <v>43166</v>
      </c>
      <c r="B315" s="47" t="s">
        <v>98</v>
      </c>
      <c r="C315" s="48">
        <f t="shared" si="74"/>
        <v>2427</v>
      </c>
      <c r="D315" s="99">
        <f t="shared" si="72"/>
        <v>816</v>
      </c>
      <c r="E315" s="45">
        <f t="shared" si="73"/>
        <v>1108.9999999999891</v>
      </c>
      <c r="F315" s="45">
        <f t="shared" si="75"/>
        <v>116</v>
      </c>
      <c r="G315" s="79">
        <f t="shared" si="76"/>
        <v>4467.9999999999891</v>
      </c>
      <c r="H315" s="77">
        <v>4276</v>
      </c>
      <c r="I315" s="77">
        <v>928</v>
      </c>
      <c r="J315" s="158">
        <f t="shared" ref="J315:J339" si="78">H315+I315</f>
        <v>5204</v>
      </c>
      <c r="K315" s="81">
        <f t="shared" si="77"/>
        <v>736.00000000001091</v>
      </c>
      <c r="L315" s="43"/>
      <c r="N315" s="112">
        <v>77387</v>
      </c>
      <c r="O315" s="112">
        <v>56766</v>
      </c>
      <c r="P315" s="112">
        <v>2382</v>
      </c>
      <c r="Q315" s="112"/>
      <c r="R315" s="112">
        <v>18651</v>
      </c>
      <c r="S315" s="113">
        <v>2216.4</v>
      </c>
      <c r="T315" s="113"/>
      <c r="U315" s="113"/>
      <c r="V315" s="112">
        <v>122794</v>
      </c>
      <c r="W315" s="112">
        <v>99468</v>
      </c>
      <c r="X315" s="112">
        <v>65026</v>
      </c>
      <c r="Y315" s="112">
        <v>92778</v>
      </c>
      <c r="Z315" s="112">
        <v>113642</v>
      </c>
    </row>
    <row r="316" spans="1:26" ht="18" hidden="1" customHeight="1" x14ac:dyDescent="0.2">
      <c r="A316" s="46">
        <v>43167</v>
      </c>
      <c r="B316" s="47" t="s">
        <v>99</v>
      </c>
      <c r="C316" s="48">
        <f t="shared" si="74"/>
        <v>2332</v>
      </c>
      <c r="D316" s="99">
        <f t="shared" si="72"/>
        <v>2280</v>
      </c>
      <c r="E316" s="45">
        <f t="shared" si="73"/>
        <v>917</v>
      </c>
      <c r="F316" s="45">
        <f t="shared" si="75"/>
        <v>133</v>
      </c>
      <c r="G316" s="79">
        <f t="shared" si="76"/>
        <v>5662</v>
      </c>
      <c r="H316" s="77">
        <v>4146</v>
      </c>
      <c r="I316" s="77">
        <v>943</v>
      </c>
      <c r="J316" s="158">
        <f t="shared" si="78"/>
        <v>5089</v>
      </c>
      <c r="K316" s="81">
        <f t="shared" si="77"/>
        <v>-573</v>
      </c>
      <c r="L316" s="43"/>
      <c r="N316" s="112">
        <v>77567</v>
      </c>
      <c r="O316" s="112">
        <v>56832</v>
      </c>
      <c r="P316" s="112">
        <v>2304</v>
      </c>
      <c r="Q316" s="112"/>
      <c r="R316" s="112">
        <v>18668</v>
      </c>
      <c r="S316" s="113">
        <v>2225.5</v>
      </c>
      <c r="T316" s="113"/>
      <c r="U316" s="113"/>
      <c r="V316" s="112">
        <v>122973</v>
      </c>
      <c r="W316" s="112">
        <v>99506</v>
      </c>
      <c r="X316" s="112">
        <v>65112</v>
      </c>
      <c r="Y316" s="112">
        <v>92778</v>
      </c>
      <c r="Z316" s="112">
        <v>113758</v>
      </c>
    </row>
    <row r="317" spans="1:26" ht="18" hidden="1" customHeight="1" x14ac:dyDescent="0.2">
      <c r="A317" s="46">
        <v>43168</v>
      </c>
      <c r="B317" s="47" t="s">
        <v>100</v>
      </c>
      <c r="C317" s="48">
        <f t="shared" si="74"/>
        <v>0</v>
      </c>
      <c r="D317" s="99">
        <f t="shared" si="72"/>
        <v>0</v>
      </c>
      <c r="E317" s="45">
        <f t="shared" si="73"/>
        <v>0</v>
      </c>
      <c r="F317" s="45">
        <f t="shared" si="75"/>
        <v>0</v>
      </c>
      <c r="G317" s="79">
        <f t="shared" si="76"/>
        <v>0</v>
      </c>
      <c r="H317" s="77">
        <v>3792</v>
      </c>
      <c r="I317" s="77">
        <v>897</v>
      </c>
      <c r="J317" s="158">
        <f t="shared" si="78"/>
        <v>4689</v>
      </c>
      <c r="K317" s="81">
        <v>0</v>
      </c>
      <c r="L317" s="43"/>
      <c r="N317" s="112">
        <v>77747</v>
      </c>
      <c r="O317" s="112">
        <v>56896</v>
      </c>
      <c r="P317" s="112">
        <v>2409</v>
      </c>
      <c r="Q317" s="112"/>
      <c r="R317" s="112">
        <v>18685</v>
      </c>
      <c r="S317" s="113">
        <v>2233</v>
      </c>
      <c r="T317" s="113"/>
      <c r="U317" s="113"/>
      <c r="V317" s="112">
        <v>123153</v>
      </c>
      <c r="W317" s="112">
        <v>99541</v>
      </c>
      <c r="X317" s="112">
        <v>65198</v>
      </c>
      <c r="Y317" s="112">
        <v>92778</v>
      </c>
      <c r="Z317" s="112">
        <v>113891</v>
      </c>
    </row>
    <row r="318" spans="1:26" ht="18" hidden="1" customHeight="1" x14ac:dyDescent="0.2">
      <c r="A318" s="46">
        <v>43169</v>
      </c>
      <c r="B318" s="47" t="s">
        <v>101</v>
      </c>
      <c r="C318" s="48">
        <f t="shared" si="74"/>
        <v>0</v>
      </c>
      <c r="D318" s="99">
        <f t="shared" si="72"/>
        <v>0</v>
      </c>
      <c r="E318" s="45">
        <f t="shared" si="73"/>
        <v>0</v>
      </c>
      <c r="F318" s="45">
        <f t="shared" si="75"/>
        <v>0</v>
      </c>
      <c r="G318" s="79">
        <f t="shared" si="76"/>
        <v>0</v>
      </c>
      <c r="H318" s="77">
        <v>0</v>
      </c>
      <c r="I318" s="77">
        <v>2947</v>
      </c>
      <c r="J318" s="158">
        <f t="shared" si="78"/>
        <v>2947</v>
      </c>
      <c r="K318" s="81">
        <v>0</v>
      </c>
      <c r="L318" s="43"/>
      <c r="N318" s="153">
        <v>77747</v>
      </c>
      <c r="O318" s="153">
        <v>56896</v>
      </c>
      <c r="P318" s="153">
        <v>2409</v>
      </c>
      <c r="Q318" s="153"/>
      <c r="R318" s="153">
        <v>18685</v>
      </c>
      <c r="S318" s="154">
        <v>2233</v>
      </c>
      <c r="T318" s="154"/>
      <c r="U318" s="154"/>
      <c r="V318" s="153">
        <v>123153</v>
      </c>
      <c r="W318" s="153">
        <v>99541</v>
      </c>
      <c r="X318" s="153">
        <v>65198</v>
      </c>
      <c r="Y318" s="153">
        <v>92778</v>
      </c>
      <c r="Z318" s="153">
        <v>113891</v>
      </c>
    </row>
    <row r="319" spans="1:26" ht="18" hidden="1" customHeight="1" x14ac:dyDescent="0.2">
      <c r="A319" s="46">
        <v>43170</v>
      </c>
      <c r="B319" s="47" t="s">
        <v>95</v>
      </c>
      <c r="C319" s="48">
        <f t="shared" si="74"/>
        <v>3050</v>
      </c>
      <c r="D319" s="99">
        <f t="shared" si="72"/>
        <v>4352</v>
      </c>
      <c r="E319" s="45">
        <f t="shared" si="73"/>
        <v>3159.0000000000109</v>
      </c>
      <c r="F319" s="45">
        <f t="shared" si="75"/>
        <v>608</v>
      </c>
      <c r="G319" s="79">
        <f t="shared" si="76"/>
        <v>11169.000000000011</v>
      </c>
      <c r="H319" s="77">
        <v>0</v>
      </c>
      <c r="I319" s="77">
        <v>3040</v>
      </c>
      <c r="J319" s="158">
        <f t="shared" si="78"/>
        <v>3040</v>
      </c>
      <c r="K319" s="81">
        <f>J317+J318+J319-G319</f>
        <v>-493.00000000001091</v>
      </c>
      <c r="L319" s="43"/>
      <c r="N319" s="153">
        <v>77747</v>
      </c>
      <c r="O319" s="153">
        <v>56896</v>
      </c>
      <c r="P319" s="153">
        <v>2409</v>
      </c>
      <c r="Q319" s="153"/>
      <c r="R319" s="153">
        <v>18685</v>
      </c>
      <c r="S319" s="154">
        <v>2233</v>
      </c>
      <c r="T319" s="154"/>
      <c r="U319" s="154"/>
      <c r="V319" s="153">
        <v>123153</v>
      </c>
      <c r="W319" s="153">
        <v>99541</v>
      </c>
      <c r="X319" s="153">
        <v>65198</v>
      </c>
      <c r="Y319" s="153">
        <v>92778</v>
      </c>
      <c r="Z319" s="153">
        <v>113891</v>
      </c>
    </row>
    <row r="320" spans="1:26" ht="18" hidden="1" customHeight="1" x14ac:dyDescent="0.2">
      <c r="A320" s="46">
        <v>43171</v>
      </c>
      <c r="B320" s="47" t="s">
        <v>96</v>
      </c>
      <c r="C320" s="48">
        <f t="shared" si="74"/>
        <v>2260</v>
      </c>
      <c r="D320" s="99">
        <f t="shared" si="72"/>
        <v>816</v>
      </c>
      <c r="E320" s="45">
        <f t="shared" si="73"/>
        <v>1171.9999999999891</v>
      </c>
      <c r="F320" s="45">
        <f t="shared" si="75"/>
        <v>113</v>
      </c>
      <c r="G320" s="79">
        <f t="shared" si="76"/>
        <v>4360.9999999999891</v>
      </c>
      <c r="H320" s="77">
        <v>4328</v>
      </c>
      <c r="I320" s="77">
        <v>907</v>
      </c>
      <c r="J320" s="158">
        <f t="shared" si="78"/>
        <v>5235</v>
      </c>
      <c r="K320" s="81">
        <f t="shared" si="77"/>
        <v>874.00000000001091</v>
      </c>
      <c r="L320" s="43"/>
      <c r="N320" s="112">
        <v>78267</v>
      </c>
      <c r="O320" s="112">
        <v>57056</v>
      </c>
      <c r="P320" s="112">
        <v>2433</v>
      </c>
      <c r="Q320" s="112"/>
      <c r="R320" s="112">
        <v>18736</v>
      </c>
      <c r="S320" s="113">
        <v>2258.9</v>
      </c>
      <c r="T320" s="113"/>
      <c r="U320" s="113"/>
      <c r="V320" s="112">
        <v>123627</v>
      </c>
      <c r="W320" s="112">
        <v>99593</v>
      </c>
      <c r="X320" s="112">
        <v>65274</v>
      </c>
      <c r="Y320" s="112">
        <v>92778</v>
      </c>
      <c r="Z320" s="112">
        <v>114499</v>
      </c>
    </row>
    <row r="321" spans="1:26" ht="18" hidden="1" customHeight="1" x14ac:dyDescent="0.2">
      <c r="A321" s="46">
        <v>43172</v>
      </c>
      <c r="B321" s="47" t="s">
        <v>97</v>
      </c>
      <c r="C321" s="48">
        <f t="shared" si="74"/>
        <v>2351</v>
      </c>
      <c r="D321" s="99">
        <f t="shared" si="72"/>
        <v>1440</v>
      </c>
      <c r="E321" s="45">
        <f t="shared" si="73"/>
        <v>935.99999999997817</v>
      </c>
      <c r="F321" s="45">
        <f t="shared" si="75"/>
        <v>17</v>
      </c>
      <c r="G321" s="79">
        <f t="shared" si="76"/>
        <v>4743.9999999999782</v>
      </c>
      <c r="H321" s="77">
        <v>4139</v>
      </c>
      <c r="I321" s="77">
        <v>903</v>
      </c>
      <c r="J321" s="158">
        <f t="shared" si="78"/>
        <v>5042</v>
      </c>
      <c r="K321" s="81">
        <f t="shared" si="77"/>
        <v>298.00000000002183</v>
      </c>
      <c r="L321" s="43"/>
      <c r="N321" s="112">
        <v>78357</v>
      </c>
      <c r="O321" s="112">
        <v>57126</v>
      </c>
      <c r="P321" s="112">
        <v>2445</v>
      </c>
      <c r="Q321" s="112"/>
      <c r="R321" s="112">
        <v>18756</v>
      </c>
      <c r="S321" s="113">
        <v>2268.5</v>
      </c>
      <c r="T321" s="113"/>
      <c r="U321" s="113"/>
      <c r="V321" s="112">
        <v>123811</v>
      </c>
      <c r="W321" s="112">
        <v>99629</v>
      </c>
      <c r="X321" s="112">
        <v>65351</v>
      </c>
      <c r="Y321" s="112">
        <v>92778</v>
      </c>
      <c r="Z321" s="112">
        <v>114612</v>
      </c>
    </row>
    <row r="322" spans="1:26" ht="18" hidden="1" customHeight="1" x14ac:dyDescent="0.2">
      <c r="A322" s="46">
        <v>43173</v>
      </c>
      <c r="B322" s="47" t="s">
        <v>98</v>
      </c>
      <c r="C322" s="48">
        <f t="shared" si="74"/>
        <v>2405</v>
      </c>
      <c r="D322" s="99">
        <f t="shared" si="72"/>
        <v>1192</v>
      </c>
      <c r="E322" s="45">
        <f t="shared" si="73"/>
        <v>1000.0000000000327</v>
      </c>
      <c r="F322" s="45">
        <f t="shared" si="75"/>
        <v>44</v>
      </c>
      <c r="G322" s="79">
        <f t="shared" si="76"/>
        <v>4641.0000000000327</v>
      </c>
      <c r="H322" s="77">
        <v>4113</v>
      </c>
      <c r="I322" s="77">
        <v>855</v>
      </c>
      <c r="J322" s="158">
        <f t="shared" si="78"/>
        <v>4968</v>
      </c>
      <c r="K322" s="81">
        <f t="shared" si="77"/>
        <v>326.99999999996726</v>
      </c>
      <c r="L322" s="43"/>
      <c r="N322" s="112">
        <v>78527</v>
      </c>
      <c r="O322" s="112">
        <v>57190</v>
      </c>
      <c r="P322" s="112">
        <v>2455</v>
      </c>
      <c r="Q322" s="112"/>
      <c r="R322" s="112">
        <v>18768</v>
      </c>
      <c r="S322" s="113">
        <v>2276.1999999999998</v>
      </c>
      <c r="T322" s="113"/>
      <c r="U322" s="113"/>
      <c r="V322" s="112">
        <v>124006</v>
      </c>
      <c r="W322" s="112">
        <v>99666</v>
      </c>
      <c r="X322" s="112">
        <v>65432</v>
      </c>
      <c r="Y322" s="112">
        <v>92778</v>
      </c>
      <c r="Z322" s="112">
        <v>114629</v>
      </c>
    </row>
    <row r="323" spans="1:26" ht="18" hidden="1" customHeight="1" x14ac:dyDescent="0.2">
      <c r="A323" s="46">
        <v>43174</v>
      </c>
      <c r="B323" s="47" t="s">
        <v>99</v>
      </c>
      <c r="C323" s="48">
        <f t="shared" si="74"/>
        <v>2268</v>
      </c>
      <c r="D323" s="99">
        <f t="shared" si="72"/>
        <v>1552</v>
      </c>
      <c r="E323" s="45">
        <f t="shared" si="73"/>
        <v>831.99999999996726</v>
      </c>
      <c r="F323" s="45">
        <f t="shared" si="75"/>
        <v>10</v>
      </c>
      <c r="G323" s="79">
        <f t="shared" si="76"/>
        <v>4661.9999999999673</v>
      </c>
      <c r="H323" s="77">
        <v>3926</v>
      </c>
      <c r="I323" s="77">
        <v>796</v>
      </c>
      <c r="J323" s="158">
        <f t="shared" si="78"/>
        <v>4722</v>
      </c>
      <c r="K323" s="81">
        <f t="shared" si="77"/>
        <v>60.000000000032742</v>
      </c>
      <c r="L323" s="43"/>
      <c r="N323" s="112">
        <v>78667</v>
      </c>
      <c r="O323" s="112">
        <v>57241</v>
      </c>
      <c r="P323" s="112">
        <v>2464</v>
      </c>
      <c r="Q323" s="112"/>
      <c r="R323" s="112">
        <v>18784</v>
      </c>
      <c r="S323" s="113">
        <v>2284.4</v>
      </c>
      <c r="T323" s="113"/>
      <c r="U323" s="113"/>
      <c r="V323" s="112">
        <v>124219</v>
      </c>
      <c r="W323" s="112">
        <v>99703</v>
      </c>
      <c r="X323" s="112">
        <v>65516</v>
      </c>
      <c r="Y323" s="112">
        <v>92778</v>
      </c>
      <c r="Z323" s="112">
        <v>114673</v>
      </c>
    </row>
    <row r="324" spans="1:26" ht="18" hidden="1" customHeight="1" x14ac:dyDescent="0.2">
      <c r="A324" s="46">
        <v>43175</v>
      </c>
      <c r="B324" s="47" t="s">
        <v>100</v>
      </c>
      <c r="C324" s="48">
        <f t="shared" si="74"/>
        <v>0</v>
      </c>
      <c r="D324" s="99">
        <f t="shared" si="72"/>
        <v>0</v>
      </c>
      <c r="E324" s="45">
        <f t="shared" si="73"/>
        <v>0</v>
      </c>
      <c r="F324" s="45">
        <f t="shared" si="75"/>
        <v>0</v>
      </c>
      <c r="G324" s="79">
        <f t="shared" si="76"/>
        <v>0</v>
      </c>
      <c r="H324" s="77">
        <v>4097</v>
      </c>
      <c r="I324" s="77">
        <v>796</v>
      </c>
      <c r="J324" s="158">
        <f t="shared" si="78"/>
        <v>4893</v>
      </c>
      <c r="K324" s="81">
        <v>0</v>
      </c>
      <c r="L324" s="43"/>
      <c r="N324" s="112">
        <v>78847</v>
      </c>
      <c r="O324" s="112">
        <v>52799</v>
      </c>
      <c r="P324" s="112">
        <v>2478</v>
      </c>
      <c r="Q324" s="112"/>
      <c r="R324" s="112">
        <v>18800</v>
      </c>
      <c r="S324" s="113">
        <v>2291.1999999999998</v>
      </c>
      <c r="T324" s="113"/>
      <c r="U324" s="113"/>
      <c r="V324" s="112">
        <v>124391</v>
      </c>
      <c r="W324" s="112">
        <v>99740</v>
      </c>
      <c r="X324" s="112">
        <v>65592</v>
      </c>
      <c r="Y324" s="112">
        <v>92778</v>
      </c>
      <c r="Z324" s="112">
        <v>114683</v>
      </c>
    </row>
    <row r="325" spans="1:26" ht="18" hidden="1" customHeight="1" x14ac:dyDescent="0.2">
      <c r="A325" s="46">
        <v>43176</v>
      </c>
      <c r="B325" s="47" t="s">
        <v>101</v>
      </c>
      <c r="C325" s="48">
        <f t="shared" si="74"/>
        <v>0</v>
      </c>
      <c r="D325" s="99">
        <f t="shared" si="72"/>
        <v>0</v>
      </c>
      <c r="E325" s="45">
        <f t="shared" si="73"/>
        <v>0</v>
      </c>
      <c r="F325" s="45">
        <f t="shared" si="75"/>
        <v>0</v>
      </c>
      <c r="G325" s="79">
        <f t="shared" si="76"/>
        <v>0</v>
      </c>
      <c r="H325" s="77">
        <v>0</v>
      </c>
      <c r="I325" s="77">
        <v>2995</v>
      </c>
      <c r="J325" s="158">
        <f t="shared" si="78"/>
        <v>2995</v>
      </c>
      <c r="K325" s="81">
        <v>0</v>
      </c>
      <c r="L325" s="43"/>
      <c r="N325" s="153">
        <v>78847</v>
      </c>
      <c r="O325" s="153">
        <v>52799</v>
      </c>
      <c r="P325" s="153">
        <v>2478</v>
      </c>
      <c r="Q325" s="153"/>
      <c r="R325" s="153">
        <v>18800</v>
      </c>
      <c r="S325" s="154">
        <v>2291.1999999999998</v>
      </c>
      <c r="T325" s="154"/>
      <c r="U325" s="154"/>
      <c r="V325" s="153">
        <v>124391</v>
      </c>
      <c r="W325" s="153">
        <v>99740</v>
      </c>
      <c r="X325" s="153">
        <v>65592</v>
      </c>
      <c r="Y325" s="153">
        <v>92778</v>
      </c>
      <c r="Z325" s="153">
        <v>114683</v>
      </c>
    </row>
    <row r="326" spans="1:26" ht="18" hidden="1" customHeight="1" x14ac:dyDescent="0.2">
      <c r="A326" s="46">
        <v>43177</v>
      </c>
      <c r="B326" s="47" t="s">
        <v>95</v>
      </c>
      <c r="C326" s="48">
        <f t="shared" si="74"/>
        <v>3223</v>
      </c>
      <c r="D326" s="99">
        <f t="shared" si="72"/>
        <v>3808</v>
      </c>
      <c r="E326" s="45">
        <f t="shared" si="73"/>
        <v>3110</v>
      </c>
      <c r="F326" s="45">
        <f t="shared" si="75"/>
        <v>222</v>
      </c>
      <c r="G326" s="79">
        <f t="shared" si="76"/>
        <v>10363</v>
      </c>
      <c r="H326" s="77">
        <v>0</v>
      </c>
      <c r="I326" s="77">
        <v>2920</v>
      </c>
      <c r="J326" s="158">
        <f t="shared" si="78"/>
        <v>2920</v>
      </c>
      <c r="K326" s="81">
        <f>J324+J325+J326-G326</f>
        <v>445</v>
      </c>
      <c r="L326" s="43"/>
      <c r="N326" s="153">
        <v>78847</v>
      </c>
      <c r="O326" s="153">
        <v>52799</v>
      </c>
      <c r="P326" s="153">
        <v>2478</v>
      </c>
      <c r="Q326" s="153"/>
      <c r="R326" s="153">
        <v>18800</v>
      </c>
      <c r="S326" s="154">
        <v>2291.1999999999998</v>
      </c>
      <c r="T326" s="154"/>
      <c r="U326" s="154"/>
      <c r="V326" s="153">
        <v>124391</v>
      </c>
      <c r="W326" s="153">
        <v>99740</v>
      </c>
      <c r="X326" s="153">
        <v>65592</v>
      </c>
      <c r="Y326" s="153">
        <v>92778</v>
      </c>
      <c r="Z326" s="153">
        <v>114683</v>
      </c>
    </row>
    <row r="327" spans="1:26" ht="18" hidden="1" customHeight="1" x14ac:dyDescent="0.2">
      <c r="A327" s="46">
        <v>43178</v>
      </c>
      <c r="B327" s="47" t="s">
        <v>96</v>
      </c>
      <c r="C327" s="48">
        <f t="shared" si="74"/>
        <v>2527</v>
      </c>
      <c r="D327" s="99">
        <f t="shared" si="72"/>
        <v>2416</v>
      </c>
      <c r="E327" s="45">
        <f t="shared" si="73"/>
        <v>1097</v>
      </c>
      <c r="F327" s="45">
        <f t="shared" si="75"/>
        <v>68</v>
      </c>
      <c r="G327" s="79">
        <f t="shared" si="76"/>
        <v>6108</v>
      </c>
      <c r="H327" s="77">
        <v>4279</v>
      </c>
      <c r="I327" s="77">
        <v>812</v>
      </c>
      <c r="J327" s="158">
        <f t="shared" si="78"/>
        <v>5091</v>
      </c>
      <c r="K327" s="81">
        <f t="shared" si="77"/>
        <v>-1017</v>
      </c>
      <c r="L327" s="43"/>
      <c r="N327" s="112">
        <v>79297</v>
      </c>
      <c r="O327" s="112">
        <v>57468</v>
      </c>
      <c r="P327" s="112">
        <v>2504</v>
      </c>
      <c r="Q327" s="112"/>
      <c r="R327" s="112">
        <v>18850</v>
      </c>
      <c r="S327" s="113">
        <v>2316.6999999999998</v>
      </c>
      <c r="T327" s="113"/>
      <c r="U327" s="113"/>
      <c r="V327" s="112">
        <v>124850</v>
      </c>
      <c r="W327" s="112">
        <v>99796</v>
      </c>
      <c r="X327" s="112">
        <v>65673</v>
      </c>
      <c r="Y327" s="112">
        <v>92778</v>
      </c>
      <c r="Z327" s="112">
        <v>114905</v>
      </c>
    </row>
    <row r="328" spans="1:26" ht="18" hidden="1" customHeight="1" x14ac:dyDescent="0.2">
      <c r="A328" s="46">
        <v>43179</v>
      </c>
      <c r="B328" s="47" t="s">
        <v>97</v>
      </c>
      <c r="C328" s="48">
        <f t="shared" si="74"/>
        <v>2061</v>
      </c>
      <c r="D328" s="99">
        <f t="shared" si="72"/>
        <v>720</v>
      </c>
      <c r="E328" s="45">
        <f t="shared" si="73"/>
        <v>1083.0000000000109</v>
      </c>
      <c r="F328" s="45">
        <f t="shared" si="75"/>
        <v>95</v>
      </c>
      <c r="G328" s="79">
        <f t="shared" si="76"/>
        <v>3959.0000000000109</v>
      </c>
      <c r="H328" s="77">
        <v>4181</v>
      </c>
      <c r="I328" s="77">
        <v>941</v>
      </c>
      <c r="J328" s="158">
        <f t="shared" si="78"/>
        <v>5122</v>
      </c>
      <c r="K328" s="81">
        <f t="shared" si="77"/>
        <v>1162.9999999999891</v>
      </c>
      <c r="L328" s="43"/>
      <c r="N328" s="112">
        <v>79587</v>
      </c>
      <c r="O328" s="112">
        <v>57539</v>
      </c>
      <c r="P328" s="112">
        <v>2516</v>
      </c>
      <c r="Q328" s="112"/>
      <c r="R328" s="112">
        <v>18867</v>
      </c>
      <c r="S328" s="113">
        <v>2325.6999999999998</v>
      </c>
      <c r="T328" s="113"/>
      <c r="U328" s="113"/>
      <c r="V328" s="112">
        <v>125257</v>
      </c>
      <c r="W328" s="112">
        <v>99833</v>
      </c>
      <c r="X328" s="112">
        <v>65751</v>
      </c>
      <c r="Y328" s="112">
        <v>92778</v>
      </c>
      <c r="Z328" s="112">
        <v>114973</v>
      </c>
    </row>
    <row r="329" spans="1:26" ht="18" hidden="1" customHeight="1" x14ac:dyDescent="0.2">
      <c r="A329" s="46">
        <v>43180</v>
      </c>
      <c r="B329" s="47" t="s">
        <v>98</v>
      </c>
      <c r="C329" s="48">
        <f t="shared" si="74"/>
        <v>2286</v>
      </c>
      <c r="D329" s="99">
        <f t="shared" si="72"/>
        <v>1816</v>
      </c>
      <c r="E329" s="45">
        <f t="shared" si="73"/>
        <v>1253.0000000000218</v>
      </c>
      <c r="F329" s="45">
        <f t="shared" si="75"/>
        <v>116</v>
      </c>
      <c r="G329" s="79">
        <f t="shared" si="76"/>
        <v>5471.0000000000218</v>
      </c>
      <c r="H329" s="77">
        <v>4376</v>
      </c>
      <c r="I329" s="77">
        <v>945</v>
      </c>
      <c r="J329" s="158">
        <f t="shared" si="78"/>
        <v>5321</v>
      </c>
      <c r="K329" s="81">
        <f t="shared" si="77"/>
        <v>-150.00000000002183</v>
      </c>
      <c r="L329" s="43"/>
      <c r="N329" s="112">
        <v>79667</v>
      </c>
      <c r="O329" s="112">
        <v>57609</v>
      </c>
      <c r="P329" s="112">
        <v>2526</v>
      </c>
      <c r="Q329" s="112"/>
      <c r="R329" s="112">
        <v>18882</v>
      </c>
      <c r="S329" s="113">
        <v>2334.6</v>
      </c>
      <c r="T329" s="113"/>
      <c r="U329" s="113"/>
      <c r="V329" s="112">
        <v>125246</v>
      </c>
      <c r="W329" s="112">
        <v>99867</v>
      </c>
      <c r="X329" s="112">
        <v>65833</v>
      </c>
      <c r="Y329" s="112">
        <v>92778</v>
      </c>
      <c r="Z329" s="112">
        <v>115068</v>
      </c>
    </row>
    <row r="330" spans="1:26" ht="18" hidden="1" customHeight="1" x14ac:dyDescent="0.2">
      <c r="A330" s="46">
        <v>43181</v>
      </c>
      <c r="B330" s="47" t="s">
        <v>99</v>
      </c>
      <c r="C330" s="48">
        <f t="shared" si="74"/>
        <v>2126</v>
      </c>
      <c r="D330" s="99">
        <f t="shared" si="72"/>
        <v>1416</v>
      </c>
      <c r="E330" s="45">
        <f t="shared" si="73"/>
        <v>1036</v>
      </c>
      <c r="F330" s="45">
        <f t="shared" si="75"/>
        <v>119</v>
      </c>
      <c r="G330" s="79">
        <f t="shared" si="76"/>
        <v>4697</v>
      </c>
      <c r="H330" s="77">
        <v>4114</v>
      </c>
      <c r="I330" s="77">
        <v>985</v>
      </c>
      <c r="J330" s="158">
        <f t="shared" si="78"/>
        <v>5099</v>
      </c>
      <c r="K330" s="81">
        <f t="shared" si="77"/>
        <v>402</v>
      </c>
      <c r="L330" s="43"/>
      <c r="N330" s="112">
        <v>79857</v>
      </c>
      <c r="O330" s="112">
        <v>57681</v>
      </c>
      <c r="P330" s="112">
        <v>2563</v>
      </c>
      <c r="Q330" s="112"/>
      <c r="R330" s="112">
        <v>18899</v>
      </c>
      <c r="S330" s="113">
        <v>2344.9</v>
      </c>
      <c r="T330" s="113"/>
      <c r="U330" s="113"/>
      <c r="V330" s="112">
        <v>125424</v>
      </c>
      <c r="W330" s="112">
        <v>99901</v>
      </c>
      <c r="X330" s="112">
        <v>65918</v>
      </c>
      <c r="Y330" s="112">
        <v>92778</v>
      </c>
      <c r="Z330" s="112">
        <v>115184</v>
      </c>
    </row>
    <row r="331" spans="1:26" ht="18" hidden="1" customHeight="1" x14ac:dyDescent="0.2">
      <c r="A331" s="46">
        <v>43182</v>
      </c>
      <c r="B331" s="47" t="s">
        <v>100</v>
      </c>
      <c r="C331" s="48">
        <f t="shared" si="74"/>
        <v>0</v>
      </c>
      <c r="D331" s="99">
        <f t="shared" si="72"/>
        <v>0</v>
      </c>
      <c r="E331" s="45">
        <f t="shared" si="73"/>
        <v>0</v>
      </c>
      <c r="F331" s="45">
        <f t="shared" si="75"/>
        <v>0</v>
      </c>
      <c r="G331" s="79">
        <f t="shared" si="76"/>
        <v>0</v>
      </c>
      <c r="H331" s="77">
        <v>3908</v>
      </c>
      <c r="I331" s="77">
        <v>931</v>
      </c>
      <c r="J331" s="158">
        <f t="shared" si="78"/>
        <v>4839</v>
      </c>
      <c r="K331" s="81">
        <v>0</v>
      </c>
      <c r="L331" s="43"/>
      <c r="N331" s="112">
        <v>80047</v>
      </c>
      <c r="O331" s="112">
        <v>57752</v>
      </c>
      <c r="P331" s="112">
        <v>2550</v>
      </c>
      <c r="Q331" s="112"/>
      <c r="R331" s="112">
        <v>18915</v>
      </c>
      <c r="S331" s="113">
        <v>2353.4</v>
      </c>
      <c r="T331" s="113"/>
      <c r="U331" s="113"/>
      <c r="V331" s="112">
        <v>125602</v>
      </c>
      <c r="W331" s="112">
        <v>99933</v>
      </c>
      <c r="X331" s="112">
        <v>65995</v>
      </c>
      <c r="Y331" s="112">
        <v>92778</v>
      </c>
      <c r="Z331" s="112">
        <v>115303</v>
      </c>
    </row>
    <row r="332" spans="1:26" ht="18" hidden="1" customHeight="1" x14ac:dyDescent="0.2">
      <c r="A332" s="46">
        <v>43183</v>
      </c>
      <c r="B332" s="56" t="s">
        <v>103</v>
      </c>
      <c r="C332" s="48">
        <f t="shared" si="74"/>
        <v>0</v>
      </c>
      <c r="D332" s="99">
        <f t="shared" si="72"/>
        <v>0</v>
      </c>
      <c r="E332" s="45">
        <f t="shared" si="73"/>
        <v>0</v>
      </c>
      <c r="F332" s="45">
        <f t="shared" si="75"/>
        <v>0</v>
      </c>
      <c r="G332" s="79">
        <f t="shared" si="76"/>
        <v>0</v>
      </c>
      <c r="H332" s="77">
        <v>0</v>
      </c>
      <c r="I332" s="77">
        <v>2881</v>
      </c>
      <c r="J332" s="158">
        <f t="shared" si="78"/>
        <v>2881</v>
      </c>
      <c r="K332" s="81">
        <v>0</v>
      </c>
      <c r="L332" s="43"/>
      <c r="N332" s="153">
        <v>80047</v>
      </c>
      <c r="O332" s="153">
        <v>57752</v>
      </c>
      <c r="P332" s="153">
        <v>2550</v>
      </c>
      <c r="Q332" s="153"/>
      <c r="R332" s="153">
        <v>18915</v>
      </c>
      <c r="S332" s="154">
        <v>2353.4</v>
      </c>
      <c r="T332" s="154"/>
      <c r="U332" s="154"/>
      <c r="V332" s="153">
        <v>125602</v>
      </c>
      <c r="W332" s="153">
        <v>99933</v>
      </c>
      <c r="X332" s="153">
        <v>65995</v>
      </c>
      <c r="Y332" s="153">
        <v>92778</v>
      </c>
      <c r="Z332" s="153">
        <v>115303</v>
      </c>
    </row>
    <row r="333" spans="1:26" ht="18" hidden="1" customHeight="1" x14ac:dyDescent="0.2">
      <c r="A333" s="46">
        <v>43184</v>
      </c>
      <c r="B333" s="56" t="s">
        <v>104</v>
      </c>
      <c r="C333" s="48">
        <f t="shared" si="74"/>
        <v>3077</v>
      </c>
      <c r="D333" s="99">
        <f t="shared" si="72"/>
        <v>4464</v>
      </c>
      <c r="E333" s="45">
        <f t="shared" si="73"/>
        <v>3195.9999999999782</v>
      </c>
      <c r="F333" s="45">
        <f t="shared" si="75"/>
        <v>302</v>
      </c>
      <c r="G333" s="79">
        <f t="shared" si="76"/>
        <v>11038.999999999978</v>
      </c>
      <c r="H333" s="77">
        <v>0</v>
      </c>
      <c r="I333" s="77">
        <v>2975</v>
      </c>
      <c r="J333" s="158">
        <f t="shared" si="78"/>
        <v>2975</v>
      </c>
      <c r="K333" s="81">
        <f>J331+J332+J333-G333</f>
        <v>-343.99999999997817</v>
      </c>
      <c r="L333" s="43"/>
      <c r="N333" s="153">
        <v>80047</v>
      </c>
      <c r="O333" s="153">
        <v>57752</v>
      </c>
      <c r="P333" s="153">
        <v>2550</v>
      </c>
      <c r="Q333" s="153"/>
      <c r="R333" s="153">
        <v>18915</v>
      </c>
      <c r="S333" s="154">
        <v>2353.4</v>
      </c>
      <c r="T333" s="154"/>
      <c r="U333" s="154"/>
      <c r="V333" s="153">
        <v>125602</v>
      </c>
      <c r="W333" s="153">
        <v>99933</v>
      </c>
      <c r="X333" s="153">
        <v>65995</v>
      </c>
      <c r="Y333" s="153">
        <v>92778</v>
      </c>
      <c r="Z333" s="153">
        <v>115303</v>
      </c>
    </row>
    <row r="334" spans="1:26" ht="18" hidden="1" customHeight="1" x14ac:dyDescent="0.2">
      <c r="A334" s="46">
        <v>43185</v>
      </c>
      <c r="B334" s="47" t="s">
        <v>96</v>
      </c>
      <c r="C334" s="48">
        <f t="shared" si="74"/>
        <v>2265</v>
      </c>
      <c r="D334" s="99">
        <f t="shared" si="72"/>
        <v>1512</v>
      </c>
      <c r="E334" s="45">
        <f t="shared" si="73"/>
        <v>1240.0000000000327</v>
      </c>
      <c r="F334" s="45">
        <f t="shared" si="75"/>
        <v>94</v>
      </c>
      <c r="G334" s="79">
        <f t="shared" si="76"/>
        <v>5111.0000000000327</v>
      </c>
      <c r="H334" s="77">
        <v>4335</v>
      </c>
      <c r="I334" s="77">
        <v>897</v>
      </c>
      <c r="J334" s="158">
        <f t="shared" si="78"/>
        <v>5232</v>
      </c>
      <c r="K334" s="81">
        <f t="shared" si="77"/>
        <v>120.99999999996726</v>
      </c>
      <c r="L334" s="43"/>
      <c r="N334" s="112">
        <v>80577</v>
      </c>
      <c r="O334" s="112">
        <v>59715</v>
      </c>
      <c r="P334" s="112">
        <v>2578</v>
      </c>
      <c r="Q334" s="112"/>
      <c r="R334" s="112">
        <v>18967</v>
      </c>
      <c r="S334" s="113">
        <v>2379.6</v>
      </c>
      <c r="T334" s="113"/>
      <c r="U334" s="113"/>
      <c r="V334" s="112">
        <v>126067</v>
      </c>
      <c r="W334" s="112">
        <v>99985</v>
      </c>
      <c r="X334" s="112">
        <v>66074</v>
      </c>
      <c r="Y334" s="112">
        <v>92778</v>
      </c>
      <c r="Z334" s="112">
        <v>115605</v>
      </c>
    </row>
    <row r="335" spans="1:26" ht="18" hidden="1" customHeight="1" x14ac:dyDescent="0.2">
      <c r="A335" s="46">
        <v>43186</v>
      </c>
      <c r="B335" s="47" t="s">
        <v>97</v>
      </c>
      <c r="C335" s="48">
        <f t="shared" si="74"/>
        <v>2457</v>
      </c>
      <c r="D335" s="99">
        <f t="shared" si="72"/>
        <v>744</v>
      </c>
      <c r="E335" s="45">
        <f t="shared" si="73"/>
        <v>1037</v>
      </c>
      <c r="F335" s="45">
        <f t="shared" si="75"/>
        <v>95</v>
      </c>
      <c r="G335" s="79">
        <f t="shared" si="76"/>
        <v>4333</v>
      </c>
      <c r="H335" s="77">
        <v>4149</v>
      </c>
      <c r="I335" s="77">
        <v>902</v>
      </c>
      <c r="J335" s="158">
        <f t="shared" si="78"/>
        <v>5051</v>
      </c>
      <c r="K335" s="81">
        <f t="shared" si="77"/>
        <v>718</v>
      </c>
      <c r="L335" s="43"/>
      <c r="N335" s="112">
        <v>80757</v>
      </c>
      <c r="O335" s="112">
        <v>57979</v>
      </c>
      <c r="P335" s="112">
        <v>2587</v>
      </c>
      <c r="Q335" s="112"/>
      <c r="R335" s="112">
        <v>18983</v>
      </c>
      <c r="S335" s="113">
        <v>2389.8000000000002</v>
      </c>
      <c r="T335" s="113"/>
      <c r="U335" s="113"/>
      <c r="V335" s="112">
        <v>126244</v>
      </c>
      <c r="W335" s="112">
        <v>100021</v>
      </c>
      <c r="X335" s="112">
        <v>66152</v>
      </c>
      <c r="Y335" s="112">
        <v>92778</v>
      </c>
      <c r="Z335" s="112">
        <v>115699</v>
      </c>
    </row>
    <row r="336" spans="1:26" ht="18" hidden="1" customHeight="1" x14ac:dyDescent="0.2">
      <c r="A336" s="46">
        <v>43187</v>
      </c>
      <c r="B336" s="47" t="s">
        <v>98</v>
      </c>
      <c r="C336" s="48">
        <f t="shared" si="74"/>
        <v>2334</v>
      </c>
      <c r="D336" s="99">
        <f t="shared" si="72"/>
        <v>1528</v>
      </c>
      <c r="E336" s="45">
        <f t="shared" si="73"/>
        <v>987.99999999998909</v>
      </c>
      <c r="F336" s="45">
        <f t="shared" si="75"/>
        <v>81</v>
      </c>
      <c r="G336" s="79">
        <f t="shared" si="76"/>
        <v>4930.9999999999891</v>
      </c>
      <c r="H336" s="77">
        <v>4228</v>
      </c>
      <c r="I336" s="77">
        <v>1085</v>
      </c>
      <c r="J336" s="158">
        <f t="shared" si="78"/>
        <v>5313</v>
      </c>
      <c r="K336" s="81">
        <f t="shared" si="77"/>
        <v>382.00000000001091</v>
      </c>
      <c r="L336" s="43"/>
      <c r="N336" s="112">
        <v>80837</v>
      </c>
      <c r="O336" s="112">
        <v>58050</v>
      </c>
      <c r="P336" s="112">
        <v>2600</v>
      </c>
      <c r="Q336" s="112"/>
      <c r="R336" s="112">
        <v>19000</v>
      </c>
      <c r="S336" s="113">
        <v>2398.3000000000002</v>
      </c>
      <c r="T336" s="113"/>
      <c r="U336" s="113"/>
      <c r="V336" s="112">
        <v>126421</v>
      </c>
      <c r="W336" s="112">
        <v>100066</v>
      </c>
      <c r="X336" s="112">
        <v>66222</v>
      </c>
      <c r="Y336" s="112">
        <v>92778</v>
      </c>
      <c r="Z336" s="112">
        <v>115794</v>
      </c>
    </row>
    <row r="337" spans="1:26" ht="18" hidden="1" customHeight="1" x14ac:dyDescent="0.2">
      <c r="A337" s="46">
        <v>43188</v>
      </c>
      <c r="B337" s="47" t="s">
        <v>99</v>
      </c>
      <c r="C337" s="48">
        <f t="shared" si="74"/>
        <v>2319</v>
      </c>
      <c r="D337" s="99">
        <f t="shared" si="72"/>
        <v>2288</v>
      </c>
      <c r="E337" s="45">
        <f t="shared" si="73"/>
        <v>922</v>
      </c>
      <c r="F337" s="45">
        <f t="shared" si="75"/>
        <v>73</v>
      </c>
      <c r="G337" s="79">
        <f t="shared" si="76"/>
        <v>5602</v>
      </c>
      <c r="H337" s="77">
        <v>4083</v>
      </c>
      <c r="I337" s="77">
        <v>883</v>
      </c>
      <c r="J337" s="158">
        <f t="shared" si="78"/>
        <v>4966</v>
      </c>
      <c r="K337" s="81">
        <f t="shared" si="77"/>
        <v>-636</v>
      </c>
      <c r="L337" s="43"/>
      <c r="N337" s="112">
        <v>81017</v>
      </c>
      <c r="O337" s="112">
        <v>58117</v>
      </c>
      <c r="P337" s="112">
        <v>2611</v>
      </c>
      <c r="Q337" s="112"/>
      <c r="R337" s="112">
        <v>19016</v>
      </c>
      <c r="S337" s="113">
        <v>2406.4</v>
      </c>
      <c r="T337" s="113"/>
      <c r="U337" s="113"/>
      <c r="V337" s="112">
        <v>126611</v>
      </c>
      <c r="W337" s="112">
        <v>100103</v>
      </c>
      <c r="X337" s="112">
        <v>66302</v>
      </c>
      <c r="Y337" s="112">
        <v>92778</v>
      </c>
      <c r="Z337" s="112">
        <v>115875</v>
      </c>
    </row>
    <row r="338" spans="1:26" ht="18" hidden="1" customHeight="1" x14ac:dyDescent="0.2">
      <c r="A338" s="46">
        <v>43189</v>
      </c>
      <c r="B338" s="47" t="s">
        <v>100</v>
      </c>
      <c r="C338" s="48">
        <f t="shared" si="74"/>
        <v>2185</v>
      </c>
      <c r="D338" s="99">
        <f t="shared" si="72"/>
        <v>720</v>
      </c>
      <c r="E338" s="45">
        <f t="shared" si="73"/>
        <v>866</v>
      </c>
      <c r="F338" s="45">
        <f t="shared" si="75"/>
        <v>73</v>
      </c>
      <c r="G338" s="79">
        <f t="shared" si="76"/>
        <v>3844</v>
      </c>
      <c r="H338" s="77">
        <v>3901</v>
      </c>
      <c r="I338" s="77">
        <v>866</v>
      </c>
      <c r="J338" s="158">
        <f t="shared" si="78"/>
        <v>4767</v>
      </c>
      <c r="K338" s="81">
        <f t="shared" si="77"/>
        <v>923</v>
      </c>
      <c r="L338" s="43"/>
      <c r="N338" s="112">
        <v>81287</v>
      </c>
      <c r="O338" s="112">
        <v>58182</v>
      </c>
      <c r="P338" s="112">
        <v>2627</v>
      </c>
      <c r="Q338" s="112"/>
      <c r="R338" s="112">
        <v>19038</v>
      </c>
      <c r="S338" s="113">
        <v>2413.9</v>
      </c>
      <c r="T338" s="113"/>
      <c r="U338" s="113"/>
      <c r="V338" s="112">
        <v>126802</v>
      </c>
      <c r="W338" s="112">
        <v>100141</v>
      </c>
      <c r="X338" s="112">
        <v>66378</v>
      </c>
      <c r="Y338" s="112">
        <v>92778</v>
      </c>
      <c r="Z338" s="112">
        <v>115948</v>
      </c>
    </row>
    <row r="339" spans="1:26" ht="18" hidden="1" customHeight="1" x14ac:dyDescent="0.2">
      <c r="A339" s="46">
        <v>43190</v>
      </c>
      <c r="B339" s="47" t="s">
        <v>101</v>
      </c>
      <c r="C339" s="48">
        <f t="shared" si="74"/>
        <v>0</v>
      </c>
      <c r="D339" s="99">
        <f t="shared" si="72"/>
        <v>0</v>
      </c>
      <c r="E339" s="45">
        <f t="shared" si="73"/>
        <v>0</v>
      </c>
      <c r="F339" s="45">
        <f t="shared" si="75"/>
        <v>0</v>
      </c>
      <c r="G339" s="79">
        <f t="shared" si="76"/>
        <v>0</v>
      </c>
      <c r="H339" s="77">
        <v>0</v>
      </c>
      <c r="I339" s="77">
        <v>4753</v>
      </c>
      <c r="J339" s="158">
        <f t="shared" si="78"/>
        <v>4753</v>
      </c>
      <c r="K339" s="81">
        <v>0</v>
      </c>
      <c r="L339" s="43"/>
      <c r="N339" s="112">
        <v>81367</v>
      </c>
      <c r="O339" s="112">
        <v>58251</v>
      </c>
      <c r="P339" s="112">
        <v>2637</v>
      </c>
      <c r="Q339" s="112"/>
      <c r="R339" s="112">
        <v>19064</v>
      </c>
      <c r="S339" s="113">
        <v>2420.9</v>
      </c>
      <c r="T339" s="113"/>
      <c r="U339" s="113"/>
      <c r="V339" s="112">
        <v>126987</v>
      </c>
      <c r="W339" s="112">
        <v>100178</v>
      </c>
      <c r="X339" s="112">
        <v>66446</v>
      </c>
      <c r="Y339" s="112">
        <v>92778</v>
      </c>
      <c r="Z339" s="112">
        <v>116021</v>
      </c>
    </row>
    <row r="340" spans="1:26" ht="18" hidden="1" customHeight="1" x14ac:dyDescent="0.2">
      <c r="A340" s="46">
        <v>43191</v>
      </c>
      <c r="B340" s="47" t="s">
        <v>95</v>
      </c>
      <c r="C340" s="48">
        <f t="shared" si="74"/>
        <v>2650</v>
      </c>
      <c r="D340" s="99">
        <f t="shared" si="72"/>
        <v>2696</v>
      </c>
      <c r="E340" s="45">
        <f t="shared" si="73"/>
        <v>1810.9999999999782</v>
      </c>
      <c r="F340" s="45">
        <f t="shared" si="75"/>
        <v>136</v>
      </c>
      <c r="G340" s="79">
        <f t="shared" si="76"/>
        <v>7292.9999999999782</v>
      </c>
      <c r="H340" s="77">
        <v>0</v>
      </c>
      <c r="I340" s="77">
        <v>2837</v>
      </c>
      <c r="J340" s="80">
        <f>H340+I340</f>
        <v>2837</v>
      </c>
      <c r="K340" s="81">
        <f t="shared" ref="K340:K346" si="79">J340-G340</f>
        <v>-4455.9999999999782</v>
      </c>
      <c r="L340" s="43"/>
      <c r="N340" s="112">
        <v>81367</v>
      </c>
      <c r="O340" s="112">
        <v>58251</v>
      </c>
      <c r="P340" s="112">
        <v>2637</v>
      </c>
      <c r="Q340" s="112"/>
      <c r="R340" s="112">
        <v>19064</v>
      </c>
      <c r="S340" s="113">
        <v>2420.9</v>
      </c>
      <c r="T340" s="113"/>
      <c r="U340" s="113"/>
      <c r="V340" s="112">
        <v>126987</v>
      </c>
      <c r="W340" s="112">
        <v>100178</v>
      </c>
      <c r="X340" s="112">
        <v>66446</v>
      </c>
      <c r="Y340" s="112">
        <v>92778</v>
      </c>
      <c r="Z340" s="112">
        <v>116021</v>
      </c>
    </row>
    <row r="341" spans="1:26" ht="18" hidden="1" customHeight="1" x14ac:dyDescent="0.2">
      <c r="A341" s="46">
        <v>43192</v>
      </c>
      <c r="B341" s="47" t="s">
        <v>96</v>
      </c>
      <c r="C341" s="48">
        <f t="shared" si="74"/>
        <v>2317</v>
      </c>
      <c r="D341" s="99">
        <f t="shared" ref="D341:D404" si="80">(N342-N341)*8+(P342-P341)*8</f>
        <v>1464</v>
      </c>
      <c r="E341" s="45">
        <f t="shared" ref="E341:E404" si="81">(R342-R341)*1+(S342-S341)*120</f>
        <v>972.00000000001091</v>
      </c>
      <c r="F341" s="45">
        <f t="shared" si="75"/>
        <v>67</v>
      </c>
      <c r="G341" s="79">
        <f t="shared" si="76"/>
        <v>4820.0000000000109</v>
      </c>
      <c r="H341" s="77">
        <v>4202</v>
      </c>
      <c r="I341" s="77">
        <v>848</v>
      </c>
      <c r="J341" s="80">
        <f t="shared" ref="J341:J369" si="82">H341+I341</f>
        <v>5050</v>
      </c>
      <c r="K341" s="81">
        <f t="shared" si="79"/>
        <v>229.99999999998909</v>
      </c>
      <c r="L341" s="43"/>
      <c r="N341" s="112">
        <v>81687</v>
      </c>
      <c r="O341" s="112">
        <v>58368</v>
      </c>
      <c r="P341" s="112">
        <v>2654</v>
      </c>
      <c r="Q341" s="112"/>
      <c r="R341" s="112">
        <v>19111</v>
      </c>
      <c r="S341" s="113">
        <v>2435.6</v>
      </c>
      <c r="T341" s="113"/>
      <c r="U341" s="113"/>
      <c r="V341" s="112">
        <v>127313</v>
      </c>
      <c r="W341" s="112">
        <v>100224</v>
      </c>
      <c r="X341" s="112">
        <v>66517</v>
      </c>
      <c r="Y341" s="112">
        <v>92778</v>
      </c>
      <c r="Z341" s="112">
        <v>116157</v>
      </c>
    </row>
    <row r="342" spans="1:26" ht="18" hidden="1" customHeight="1" x14ac:dyDescent="0.2">
      <c r="A342" s="46">
        <v>43193</v>
      </c>
      <c r="B342" s="47" t="s">
        <v>97</v>
      </c>
      <c r="C342" s="48">
        <f t="shared" si="74"/>
        <v>0</v>
      </c>
      <c r="D342" s="99">
        <f t="shared" si="80"/>
        <v>0</v>
      </c>
      <c r="E342" s="45">
        <f t="shared" si="81"/>
        <v>0</v>
      </c>
      <c r="F342" s="45">
        <f t="shared" si="75"/>
        <v>0</v>
      </c>
      <c r="G342" s="79">
        <f t="shared" si="76"/>
        <v>0</v>
      </c>
      <c r="H342" s="77">
        <v>3965</v>
      </c>
      <c r="I342" s="77">
        <v>748</v>
      </c>
      <c r="J342" s="80">
        <f t="shared" si="82"/>
        <v>4713</v>
      </c>
      <c r="K342" s="81">
        <f t="shared" si="79"/>
        <v>4713</v>
      </c>
      <c r="L342" s="43"/>
      <c r="N342" s="112">
        <v>81857</v>
      </c>
      <c r="O342" s="112">
        <v>58430</v>
      </c>
      <c r="P342" s="112">
        <v>2667</v>
      </c>
      <c r="Q342" s="112"/>
      <c r="R342" s="112">
        <v>19135</v>
      </c>
      <c r="S342" s="113">
        <v>2443.5</v>
      </c>
      <c r="T342" s="113"/>
      <c r="U342" s="113"/>
      <c r="V342" s="112">
        <v>127514</v>
      </c>
      <c r="W342" s="112">
        <v>100262</v>
      </c>
      <c r="X342" s="112">
        <v>66592</v>
      </c>
      <c r="Y342" s="112">
        <v>92778</v>
      </c>
      <c r="Z342" s="112">
        <v>116224</v>
      </c>
    </row>
    <row r="343" spans="1:26" ht="18" hidden="1" customHeight="1" x14ac:dyDescent="0.2">
      <c r="A343" s="46">
        <v>43194</v>
      </c>
      <c r="B343" s="47" t="s">
        <v>98</v>
      </c>
      <c r="C343" s="48">
        <f t="shared" si="74"/>
        <v>0</v>
      </c>
      <c r="D343" s="99">
        <f t="shared" si="80"/>
        <v>0</v>
      </c>
      <c r="E343" s="45">
        <f t="shared" si="81"/>
        <v>0</v>
      </c>
      <c r="F343" s="45">
        <f t="shared" si="75"/>
        <v>0</v>
      </c>
      <c r="G343" s="79">
        <f t="shared" si="76"/>
        <v>0</v>
      </c>
      <c r="H343" s="77">
        <v>0</v>
      </c>
      <c r="I343" s="77">
        <v>2597</v>
      </c>
      <c r="J343" s="80">
        <f t="shared" si="82"/>
        <v>2597</v>
      </c>
      <c r="K343" s="81">
        <f t="shared" si="79"/>
        <v>2597</v>
      </c>
      <c r="L343" s="43"/>
      <c r="N343" s="153">
        <v>81857</v>
      </c>
      <c r="O343" s="153">
        <v>58430</v>
      </c>
      <c r="P343" s="153">
        <v>2667</v>
      </c>
      <c r="Q343" s="153"/>
      <c r="R343" s="153">
        <v>19135</v>
      </c>
      <c r="S343" s="154">
        <v>2443.5</v>
      </c>
      <c r="T343" s="154"/>
      <c r="U343" s="154"/>
      <c r="V343" s="153">
        <v>127514</v>
      </c>
      <c r="W343" s="153">
        <v>100262</v>
      </c>
      <c r="X343" s="153">
        <v>66592</v>
      </c>
      <c r="Y343" s="153">
        <v>92778</v>
      </c>
      <c r="Z343" s="153">
        <v>116224</v>
      </c>
    </row>
    <row r="344" spans="1:26" ht="18" hidden="1" customHeight="1" x14ac:dyDescent="0.2">
      <c r="A344" s="46">
        <v>43195</v>
      </c>
      <c r="B344" s="47" t="s">
        <v>99</v>
      </c>
      <c r="C344" s="48">
        <f t="shared" si="74"/>
        <v>0</v>
      </c>
      <c r="D344" s="99">
        <f t="shared" si="80"/>
        <v>0</v>
      </c>
      <c r="E344" s="45">
        <f t="shared" si="81"/>
        <v>0</v>
      </c>
      <c r="F344" s="45">
        <f t="shared" si="75"/>
        <v>0</v>
      </c>
      <c r="G344" s="79">
        <f t="shared" si="76"/>
        <v>0</v>
      </c>
      <c r="H344" s="77">
        <v>0</v>
      </c>
      <c r="I344" s="77">
        <v>2455</v>
      </c>
      <c r="J344" s="80">
        <f t="shared" si="82"/>
        <v>2455</v>
      </c>
      <c r="K344" s="81">
        <f t="shared" si="79"/>
        <v>2455</v>
      </c>
      <c r="L344" s="43"/>
      <c r="N344" s="153">
        <v>81857</v>
      </c>
      <c r="O344" s="153">
        <v>58430</v>
      </c>
      <c r="P344" s="153">
        <v>2667</v>
      </c>
      <c r="Q344" s="153"/>
      <c r="R344" s="153">
        <v>19135</v>
      </c>
      <c r="S344" s="154">
        <v>2443.5</v>
      </c>
      <c r="T344" s="154"/>
      <c r="U344" s="154"/>
      <c r="V344" s="153">
        <v>127514</v>
      </c>
      <c r="W344" s="153">
        <v>100262</v>
      </c>
      <c r="X344" s="153">
        <v>66592</v>
      </c>
      <c r="Y344" s="153">
        <v>92778</v>
      </c>
      <c r="Z344" s="153">
        <v>116224</v>
      </c>
    </row>
    <row r="345" spans="1:26" ht="18" hidden="1" customHeight="1" x14ac:dyDescent="0.2">
      <c r="A345" s="46">
        <v>43196</v>
      </c>
      <c r="B345" s="47" t="s">
        <v>100</v>
      </c>
      <c r="C345" s="48">
        <f t="shared" si="74"/>
        <v>0</v>
      </c>
      <c r="D345" s="99">
        <f t="shared" si="80"/>
        <v>0</v>
      </c>
      <c r="E345" s="45">
        <f t="shared" si="81"/>
        <v>0</v>
      </c>
      <c r="F345" s="45">
        <f t="shared" si="75"/>
        <v>0</v>
      </c>
      <c r="G345" s="79">
        <f t="shared" si="76"/>
        <v>0</v>
      </c>
      <c r="H345" s="77">
        <v>1886</v>
      </c>
      <c r="I345" s="77">
        <v>616</v>
      </c>
      <c r="J345" s="80">
        <f t="shared" si="82"/>
        <v>2502</v>
      </c>
      <c r="K345" s="81">
        <f t="shared" si="79"/>
        <v>2502</v>
      </c>
      <c r="L345" s="43"/>
      <c r="N345" s="153">
        <v>81857</v>
      </c>
      <c r="O345" s="153">
        <v>58430</v>
      </c>
      <c r="P345" s="153">
        <v>2667</v>
      </c>
      <c r="Q345" s="153"/>
      <c r="R345" s="153">
        <v>19135</v>
      </c>
      <c r="S345" s="154">
        <v>2443.5</v>
      </c>
      <c r="T345" s="154"/>
      <c r="U345" s="154"/>
      <c r="V345" s="153">
        <v>127514</v>
      </c>
      <c r="W345" s="153">
        <v>100262</v>
      </c>
      <c r="X345" s="153">
        <v>66592</v>
      </c>
      <c r="Y345" s="153">
        <v>92778</v>
      </c>
      <c r="Z345" s="153">
        <v>116224</v>
      </c>
    </row>
    <row r="346" spans="1:26" ht="18" hidden="1" customHeight="1" x14ac:dyDescent="0.2">
      <c r="A346" s="46">
        <v>43197</v>
      </c>
      <c r="B346" s="47" t="s">
        <v>101</v>
      </c>
      <c r="C346" s="48">
        <f t="shared" ref="C346:C409" si="83">(V347-V346)*1+(W347-W346)*32+(X347-X346)*12+(Y347-Y346)*6</f>
        <v>0</v>
      </c>
      <c r="D346" s="99">
        <f t="shared" si="80"/>
        <v>0</v>
      </c>
      <c r="E346" s="45">
        <f t="shared" si="81"/>
        <v>0</v>
      </c>
      <c r="F346" s="45">
        <f t="shared" ref="F346:F409" si="84">(Z347-Z346)*1</f>
        <v>0</v>
      </c>
      <c r="G346" s="79">
        <f t="shared" ref="G346:G409" si="85">C346+D346+F346+E346</f>
        <v>0</v>
      </c>
      <c r="H346" s="77">
        <v>0</v>
      </c>
      <c r="I346" s="77">
        <v>2777</v>
      </c>
      <c r="J346" s="80">
        <f t="shared" si="82"/>
        <v>2777</v>
      </c>
      <c r="K346" s="81">
        <f t="shared" si="79"/>
        <v>2777</v>
      </c>
      <c r="L346" s="43"/>
      <c r="N346" s="153">
        <v>81857</v>
      </c>
      <c r="O346" s="153">
        <v>58430</v>
      </c>
      <c r="P346" s="153">
        <v>2667</v>
      </c>
      <c r="Q346" s="153"/>
      <c r="R346" s="153">
        <v>19135</v>
      </c>
      <c r="S346" s="154">
        <v>2443.5</v>
      </c>
      <c r="T346" s="154"/>
      <c r="U346" s="154"/>
      <c r="V346" s="153">
        <v>127514</v>
      </c>
      <c r="W346" s="153">
        <v>100262</v>
      </c>
      <c r="X346" s="153">
        <v>66592</v>
      </c>
      <c r="Y346" s="153">
        <v>92778</v>
      </c>
      <c r="Z346" s="153">
        <v>116224</v>
      </c>
    </row>
    <row r="347" spans="1:26" ht="18" hidden="1" customHeight="1" x14ac:dyDescent="0.2">
      <c r="A347" s="46">
        <v>43198</v>
      </c>
      <c r="B347" s="47" t="s">
        <v>95</v>
      </c>
      <c r="C347" s="48">
        <f t="shared" si="83"/>
        <v>4230</v>
      </c>
      <c r="D347" s="99">
        <f t="shared" si="80"/>
        <v>6696</v>
      </c>
      <c r="E347" s="45">
        <f t="shared" si="81"/>
        <v>5804.9999999999891</v>
      </c>
      <c r="F347" s="45">
        <f t="shared" si="84"/>
        <v>473</v>
      </c>
      <c r="G347" s="79">
        <f t="shared" si="85"/>
        <v>17203.999999999989</v>
      </c>
      <c r="H347" s="77">
        <v>0</v>
      </c>
      <c r="I347" s="77">
        <v>2825</v>
      </c>
      <c r="J347" s="80">
        <f t="shared" si="82"/>
        <v>2825</v>
      </c>
      <c r="K347" s="81">
        <f t="shared" ref="K347:K409" si="86">J347-G347</f>
        <v>-14378.999999999989</v>
      </c>
      <c r="L347" s="43"/>
      <c r="N347" s="153">
        <v>81857</v>
      </c>
      <c r="O347" s="153">
        <v>58430</v>
      </c>
      <c r="P347" s="153">
        <v>2667</v>
      </c>
      <c r="Q347" s="153"/>
      <c r="R347" s="153">
        <v>19135</v>
      </c>
      <c r="S347" s="154">
        <v>2443.5</v>
      </c>
      <c r="T347" s="154"/>
      <c r="U347" s="154"/>
      <c r="V347" s="153">
        <v>127514</v>
      </c>
      <c r="W347" s="153">
        <v>100262</v>
      </c>
      <c r="X347" s="153">
        <v>66592</v>
      </c>
      <c r="Y347" s="153">
        <v>92778</v>
      </c>
      <c r="Z347" s="153">
        <v>116224</v>
      </c>
    </row>
    <row r="348" spans="1:26" ht="18" hidden="1" customHeight="1" x14ac:dyDescent="0.2">
      <c r="A348" s="46">
        <v>43199</v>
      </c>
      <c r="B348" s="47" t="s">
        <v>96</v>
      </c>
      <c r="C348" s="48">
        <f t="shared" si="83"/>
        <v>2323</v>
      </c>
      <c r="D348" s="99">
        <f t="shared" si="80"/>
        <v>1616</v>
      </c>
      <c r="E348" s="45">
        <f t="shared" si="81"/>
        <v>1008.0000000000327</v>
      </c>
      <c r="F348" s="45">
        <f t="shared" si="84"/>
        <v>101</v>
      </c>
      <c r="G348" s="79">
        <f t="shared" si="85"/>
        <v>5048.0000000000327</v>
      </c>
      <c r="H348" s="77">
        <v>4232</v>
      </c>
      <c r="I348" s="77">
        <v>843</v>
      </c>
      <c r="J348" s="80">
        <f t="shared" si="82"/>
        <v>5075</v>
      </c>
      <c r="K348" s="81">
        <f t="shared" si="86"/>
        <v>26.999999999967258</v>
      </c>
      <c r="L348" s="43"/>
      <c r="N348" s="112">
        <v>82647</v>
      </c>
      <c r="O348" s="112">
        <v>58731</v>
      </c>
      <c r="P348" s="112">
        <v>2714</v>
      </c>
      <c r="Q348" s="112"/>
      <c r="R348" s="112">
        <v>19288</v>
      </c>
      <c r="S348" s="113">
        <v>2490.6</v>
      </c>
      <c r="T348" s="113"/>
      <c r="U348" s="113"/>
      <c r="V348" s="112">
        <v>128400</v>
      </c>
      <c r="W348" s="112">
        <v>100341</v>
      </c>
      <c r="X348" s="112">
        <v>66660</v>
      </c>
      <c r="Y348" s="112">
        <v>92778</v>
      </c>
      <c r="Z348" s="112">
        <v>116697</v>
      </c>
    </row>
    <row r="349" spans="1:26" ht="18" hidden="1" customHeight="1" x14ac:dyDescent="0.2">
      <c r="A349" s="46">
        <v>43200</v>
      </c>
      <c r="B349" s="47" t="s">
        <v>97</v>
      </c>
      <c r="C349" s="48">
        <f t="shared" si="83"/>
        <v>2252</v>
      </c>
      <c r="D349" s="99">
        <f t="shared" si="80"/>
        <v>1672</v>
      </c>
      <c r="E349" s="45">
        <f t="shared" si="81"/>
        <v>779.99999999996726</v>
      </c>
      <c r="F349" s="45">
        <f t="shared" si="84"/>
        <v>84</v>
      </c>
      <c r="G349" s="79">
        <f t="shared" si="85"/>
        <v>4787.9999999999673</v>
      </c>
      <c r="H349" s="77">
        <v>4054</v>
      </c>
      <c r="I349" s="77">
        <v>904</v>
      </c>
      <c r="J349" s="80">
        <f t="shared" si="82"/>
        <v>4958</v>
      </c>
      <c r="K349" s="81">
        <f t="shared" si="86"/>
        <v>170.00000000003274</v>
      </c>
      <c r="L349" s="43"/>
      <c r="N349" s="112">
        <v>82837</v>
      </c>
      <c r="O349" s="112">
        <v>58802</v>
      </c>
      <c r="P349" s="112">
        <v>2726</v>
      </c>
      <c r="Q349" s="112"/>
      <c r="R349" s="112">
        <v>19312</v>
      </c>
      <c r="S349" s="113">
        <v>2498.8000000000002</v>
      </c>
      <c r="T349" s="113"/>
      <c r="U349" s="113"/>
      <c r="V349" s="112">
        <v>128599</v>
      </c>
      <c r="W349" s="112">
        <v>100377</v>
      </c>
      <c r="X349" s="112">
        <v>66741</v>
      </c>
      <c r="Y349" s="112">
        <v>92778</v>
      </c>
      <c r="Z349" s="112">
        <v>116798</v>
      </c>
    </row>
    <row r="350" spans="1:26" ht="18" hidden="1" customHeight="1" x14ac:dyDescent="0.2">
      <c r="A350" s="46">
        <v>43201</v>
      </c>
      <c r="B350" s="47" t="s">
        <v>98</v>
      </c>
      <c r="C350" s="48">
        <f t="shared" si="83"/>
        <v>2477</v>
      </c>
      <c r="D350" s="99">
        <f t="shared" si="80"/>
        <v>1736</v>
      </c>
      <c r="E350" s="45">
        <f t="shared" si="81"/>
        <v>996.99999999998909</v>
      </c>
      <c r="F350" s="45">
        <f t="shared" si="84"/>
        <v>69</v>
      </c>
      <c r="G350" s="79">
        <f t="shared" si="85"/>
        <v>5278.9999999999891</v>
      </c>
      <c r="H350" s="77">
        <v>4412</v>
      </c>
      <c r="I350" s="77">
        <v>927</v>
      </c>
      <c r="J350" s="80">
        <f t="shared" si="82"/>
        <v>5339</v>
      </c>
      <c r="K350" s="81">
        <f t="shared" si="86"/>
        <v>60.000000000010914</v>
      </c>
      <c r="L350" s="43"/>
      <c r="N350" s="112">
        <v>83037</v>
      </c>
      <c r="O350" s="112">
        <v>58877</v>
      </c>
      <c r="P350" s="112">
        <v>2735</v>
      </c>
      <c r="Q350" s="112"/>
      <c r="R350" s="112">
        <v>19336</v>
      </c>
      <c r="S350" s="113">
        <v>2505.1</v>
      </c>
      <c r="T350" s="113"/>
      <c r="U350" s="113"/>
      <c r="V350" s="112">
        <v>128803</v>
      </c>
      <c r="W350" s="112">
        <v>100414</v>
      </c>
      <c r="X350" s="112">
        <v>66813</v>
      </c>
      <c r="Y350" s="112">
        <v>92778</v>
      </c>
      <c r="Z350" s="112">
        <v>116882</v>
      </c>
    </row>
    <row r="351" spans="1:26" ht="18" hidden="1" customHeight="1" x14ac:dyDescent="0.2">
      <c r="A351" s="46">
        <v>43202</v>
      </c>
      <c r="B351" s="47" t="s">
        <v>99</v>
      </c>
      <c r="C351" s="48">
        <f t="shared" si="83"/>
        <v>2489</v>
      </c>
      <c r="D351" s="99">
        <f t="shared" si="80"/>
        <v>1592</v>
      </c>
      <c r="E351" s="45">
        <f t="shared" si="81"/>
        <v>769.00000000003274</v>
      </c>
      <c r="F351" s="45">
        <f t="shared" si="84"/>
        <v>60</v>
      </c>
      <c r="G351" s="79">
        <f t="shared" si="85"/>
        <v>4910.0000000000327</v>
      </c>
      <c r="H351" s="77">
        <v>4151</v>
      </c>
      <c r="I351" s="77">
        <v>929</v>
      </c>
      <c r="J351" s="80">
        <f t="shared" si="82"/>
        <v>5080</v>
      </c>
      <c r="K351" s="81">
        <f t="shared" si="86"/>
        <v>169.99999999996726</v>
      </c>
      <c r="L351" s="43"/>
      <c r="N351" s="112">
        <v>83237</v>
      </c>
      <c r="O351" s="112">
        <v>58954</v>
      </c>
      <c r="P351" s="112">
        <v>2752</v>
      </c>
      <c r="Q351" s="112"/>
      <c r="R351" s="112">
        <v>19361</v>
      </c>
      <c r="S351" s="113">
        <v>2513.1999999999998</v>
      </c>
      <c r="T351" s="113"/>
      <c r="U351" s="113"/>
      <c r="V351" s="112">
        <v>129024</v>
      </c>
      <c r="W351" s="112">
        <v>100456</v>
      </c>
      <c r="X351" s="112">
        <v>66889</v>
      </c>
      <c r="Y351" s="112">
        <v>92778</v>
      </c>
      <c r="Z351" s="112">
        <v>116951</v>
      </c>
    </row>
    <row r="352" spans="1:26" ht="18" hidden="1" customHeight="1" x14ac:dyDescent="0.2">
      <c r="A352" s="46">
        <v>43203</v>
      </c>
      <c r="B352" s="47" t="s">
        <v>100</v>
      </c>
      <c r="C352" s="48">
        <f t="shared" si="83"/>
        <v>0</v>
      </c>
      <c r="D352" s="99">
        <f t="shared" si="80"/>
        <v>0</v>
      </c>
      <c r="E352" s="45">
        <f t="shared" si="81"/>
        <v>0</v>
      </c>
      <c r="F352" s="45">
        <f t="shared" si="84"/>
        <v>0</v>
      </c>
      <c r="G352" s="79">
        <f t="shared" si="85"/>
        <v>0</v>
      </c>
      <c r="H352" s="77">
        <v>4400</v>
      </c>
      <c r="I352" s="77">
        <v>939</v>
      </c>
      <c r="J352" s="80">
        <f t="shared" si="82"/>
        <v>5339</v>
      </c>
      <c r="K352" s="81">
        <f t="shared" si="86"/>
        <v>5339</v>
      </c>
      <c r="L352" s="43"/>
      <c r="N352" s="112">
        <v>83427</v>
      </c>
      <c r="O352" s="112">
        <v>59027</v>
      </c>
      <c r="P352" s="112">
        <v>2761</v>
      </c>
      <c r="Q352" s="112"/>
      <c r="R352" s="112">
        <v>19386</v>
      </c>
      <c r="S352" s="113">
        <v>2519.4</v>
      </c>
      <c r="T352" s="113"/>
      <c r="U352" s="113"/>
      <c r="V352" s="112">
        <v>129265</v>
      </c>
      <c r="W352" s="112">
        <v>100497</v>
      </c>
      <c r="X352" s="112">
        <v>66967</v>
      </c>
      <c r="Y352" s="112">
        <v>92778</v>
      </c>
      <c r="Z352" s="112">
        <v>117011</v>
      </c>
    </row>
    <row r="353" spans="1:26" ht="18" hidden="1" customHeight="1" x14ac:dyDescent="0.2">
      <c r="A353" s="46">
        <v>43204</v>
      </c>
      <c r="B353" s="47" t="s">
        <v>101</v>
      </c>
      <c r="C353" s="48">
        <f t="shared" si="83"/>
        <v>0</v>
      </c>
      <c r="D353" s="99">
        <f t="shared" si="80"/>
        <v>0</v>
      </c>
      <c r="E353" s="45">
        <f t="shared" si="81"/>
        <v>0</v>
      </c>
      <c r="F353" s="45">
        <f t="shared" si="84"/>
        <v>0</v>
      </c>
      <c r="G353" s="79">
        <f t="shared" si="85"/>
        <v>0</v>
      </c>
      <c r="H353" s="77">
        <v>0</v>
      </c>
      <c r="I353" s="77">
        <v>2788</v>
      </c>
      <c r="J353" s="80">
        <f t="shared" si="82"/>
        <v>2788</v>
      </c>
      <c r="K353" s="81">
        <f t="shared" si="86"/>
        <v>2788</v>
      </c>
      <c r="L353" s="43"/>
      <c r="N353" s="153">
        <v>83427</v>
      </c>
      <c r="O353" s="153">
        <v>59027</v>
      </c>
      <c r="P353" s="153">
        <v>2761</v>
      </c>
      <c r="Q353" s="153"/>
      <c r="R353" s="153">
        <v>19386</v>
      </c>
      <c r="S353" s="154">
        <v>2519.4</v>
      </c>
      <c r="T353" s="154"/>
      <c r="U353" s="154"/>
      <c r="V353" s="153">
        <v>129265</v>
      </c>
      <c r="W353" s="153">
        <v>100497</v>
      </c>
      <c r="X353" s="153">
        <v>66967</v>
      </c>
      <c r="Y353" s="153">
        <v>92778</v>
      </c>
      <c r="Z353" s="153">
        <v>117011</v>
      </c>
    </row>
    <row r="354" spans="1:26" ht="18" hidden="1" customHeight="1" x14ac:dyDescent="0.2">
      <c r="A354" s="46">
        <v>43205</v>
      </c>
      <c r="B354" s="47" t="s">
        <v>95</v>
      </c>
      <c r="C354" s="48">
        <f t="shared" si="83"/>
        <v>3670</v>
      </c>
      <c r="D354" s="99">
        <f t="shared" si="80"/>
        <v>3672</v>
      </c>
      <c r="E354" s="45">
        <f t="shared" si="81"/>
        <v>3096.9999999999782</v>
      </c>
      <c r="F354" s="45">
        <f t="shared" si="84"/>
        <v>192</v>
      </c>
      <c r="G354" s="79">
        <f t="shared" si="85"/>
        <v>10630.999999999978</v>
      </c>
      <c r="H354" s="77">
        <v>0</v>
      </c>
      <c r="I354" s="77">
        <v>2907</v>
      </c>
      <c r="J354" s="80">
        <f t="shared" si="82"/>
        <v>2907</v>
      </c>
      <c r="K354" s="81">
        <f t="shared" si="86"/>
        <v>-7723.9999999999782</v>
      </c>
      <c r="L354" s="43"/>
      <c r="N354" s="153">
        <v>83427</v>
      </c>
      <c r="O354" s="153">
        <v>59027</v>
      </c>
      <c r="P354" s="153">
        <v>2761</v>
      </c>
      <c r="Q354" s="153"/>
      <c r="R354" s="153">
        <v>19386</v>
      </c>
      <c r="S354" s="154">
        <v>2519.4</v>
      </c>
      <c r="T354" s="154"/>
      <c r="U354" s="154"/>
      <c r="V354" s="153">
        <v>129265</v>
      </c>
      <c r="W354" s="153">
        <v>100497</v>
      </c>
      <c r="X354" s="153">
        <v>66967</v>
      </c>
      <c r="Y354" s="153">
        <v>92778</v>
      </c>
      <c r="Z354" s="153">
        <v>117011</v>
      </c>
    </row>
    <row r="355" spans="1:26" ht="18" hidden="1" customHeight="1" x14ac:dyDescent="0.2">
      <c r="A355" s="46">
        <v>43206</v>
      </c>
      <c r="B355" s="47" t="s">
        <v>96</v>
      </c>
      <c r="C355" s="48">
        <f t="shared" si="83"/>
        <v>2252</v>
      </c>
      <c r="D355" s="99">
        <f t="shared" si="80"/>
        <v>1696</v>
      </c>
      <c r="E355" s="45">
        <f t="shared" si="81"/>
        <v>1175.9999999999891</v>
      </c>
      <c r="F355" s="45">
        <f t="shared" si="84"/>
        <v>90</v>
      </c>
      <c r="G355" s="79">
        <f t="shared" si="85"/>
        <v>5213.9999999999891</v>
      </c>
      <c r="H355" s="77">
        <v>4378</v>
      </c>
      <c r="I355" s="77">
        <v>948</v>
      </c>
      <c r="J355" s="80">
        <f t="shared" si="82"/>
        <v>5326</v>
      </c>
      <c r="K355" s="81">
        <f t="shared" si="86"/>
        <v>112.00000000001091</v>
      </c>
      <c r="L355" s="43"/>
      <c r="N355" s="112">
        <v>83857</v>
      </c>
      <c r="O355" s="112">
        <v>59191</v>
      </c>
      <c r="P355" s="112">
        <v>2790</v>
      </c>
      <c r="Q355" s="112"/>
      <c r="R355" s="112">
        <v>19459</v>
      </c>
      <c r="S355" s="113">
        <v>2544.6</v>
      </c>
      <c r="T355" s="113"/>
      <c r="U355" s="113"/>
      <c r="V355" s="112">
        <v>129903</v>
      </c>
      <c r="W355" s="112">
        <v>100564</v>
      </c>
      <c r="X355" s="112">
        <v>67041</v>
      </c>
      <c r="Y355" s="112">
        <v>92778</v>
      </c>
      <c r="Z355" s="112">
        <v>117203</v>
      </c>
    </row>
    <row r="356" spans="1:26" ht="18" hidden="1" customHeight="1" x14ac:dyDescent="0.2">
      <c r="A356" s="46">
        <v>43207</v>
      </c>
      <c r="B356" s="47" t="s">
        <v>97</v>
      </c>
      <c r="C356" s="48">
        <f t="shared" si="83"/>
        <v>2190</v>
      </c>
      <c r="D356" s="99">
        <f t="shared" si="80"/>
        <v>1600</v>
      </c>
      <c r="E356" s="45">
        <f t="shared" si="81"/>
        <v>1009.0000000000327</v>
      </c>
      <c r="F356" s="45">
        <f t="shared" si="84"/>
        <v>84</v>
      </c>
      <c r="G356" s="79">
        <f t="shared" si="85"/>
        <v>4883.0000000000327</v>
      </c>
      <c r="H356" s="77">
        <v>4126</v>
      </c>
      <c r="I356" s="77">
        <v>912</v>
      </c>
      <c r="J356" s="80">
        <f t="shared" si="82"/>
        <v>5038</v>
      </c>
      <c r="K356" s="81">
        <f t="shared" si="86"/>
        <v>154.99999999996726</v>
      </c>
      <c r="L356" s="43"/>
      <c r="N356" s="112">
        <v>84057</v>
      </c>
      <c r="O356" s="112">
        <v>59264</v>
      </c>
      <c r="P356" s="112">
        <v>2802</v>
      </c>
      <c r="Q356" s="112"/>
      <c r="R356" s="112">
        <v>19483</v>
      </c>
      <c r="S356" s="113">
        <v>2554.1999999999998</v>
      </c>
      <c r="T356" s="113"/>
      <c r="U356" s="113"/>
      <c r="V356" s="112">
        <v>130071</v>
      </c>
      <c r="W356" s="112">
        <v>100601</v>
      </c>
      <c r="X356" s="112">
        <v>67116</v>
      </c>
      <c r="Y356" s="112">
        <v>92778</v>
      </c>
      <c r="Z356" s="112">
        <v>117293</v>
      </c>
    </row>
    <row r="357" spans="1:26" ht="18" hidden="1" customHeight="1" x14ac:dyDescent="0.2">
      <c r="A357" s="46">
        <v>43208</v>
      </c>
      <c r="B357" s="47" t="s">
        <v>98</v>
      </c>
      <c r="C357" s="48">
        <f t="shared" si="83"/>
        <v>2276</v>
      </c>
      <c r="D357" s="99">
        <f t="shared" si="80"/>
        <v>1776</v>
      </c>
      <c r="E357" s="45">
        <f t="shared" si="81"/>
        <v>995.99999999998909</v>
      </c>
      <c r="F357" s="45">
        <f t="shared" si="84"/>
        <v>269</v>
      </c>
      <c r="G357" s="79">
        <f t="shared" si="85"/>
        <v>5316.9999999999891</v>
      </c>
      <c r="H357" s="77">
        <v>4192</v>
      </c>
      <c r="I357" s="77">
        <v>930</v>
      </c>
      <c r="J357" s="80">
        <f t="shared" si="82"/>
        <v>5122</v>
      </c>
      <c r="K357" s="81">
        <f t="shared" si="86"/>
        <v>-194.99999999998909</v>
      </c>
      <c r="L357" s="43"/>
      <c r="N357" s="112">
        <v>84247</v>
      </c>
      <c r="O357" s="112">
        <v>59337</v>
      </c>
      <c r="P357" s="112">
        <v>2812</v>
      </c>
      <c r="Q357" s="112"/>
      <c r="R357" s="112">
        <v>19508</v>
      </c>
      <c r="S357" s="113">
        <v>2562.4</v>
      </c>
      <c r="T357" s="113"/>
      <c r="U357" s="113"/>
      <c r="V357" s="112">
        <v>130233</v>
      </c>
      <c r="W357" s="112">
        <v>100634</v>
      </c>
      <c r="X357" s="112">
        <v>67197</v>
      </c>
      <c r="Y357" s="112">
        <v>92778</v>
      </c>
      <c r="Z357" s="112">
        <v>117377</v>
      </c>
    </row>
    <row r="358" spans="1:26" ht="18" hidden="1" customHeight="1" x14ac:dyDescent="0.2">
      <c r="A358" s="46">
        <v>43209</v>
      </c>
      <c r="B358" s="47" t="s">
        <v>99</v>
      </c>
      <c r="C358" s="48">
        <f t="shared" si="83"/>
        <v>2078</v>
      </c>
      <c r="D358" s="99">
        <f t="shared" si="80"/>
        <v>1600</v>
      </c>
      <c r="E358" s="45">
        <f t="shared" si="81"/>
        <v>947.99999999997817</v>
      </c>
      <c r="F358" s="45">
        <f t="shared" si="84"/>
        <v>110</v>
      </c>
      <c r="G358" s="79">
        <f t="shared" si="85"/>
        <v>4735.9999999999782</v>
      </c>
      <c r="H358" s="77">
        <v>3977</v>
      </c>
      <c r="I358" s="77">
        <v>941</v>
      </c>
      <c r="J358" s="80">
        <f t="shared" si="82"/>
        <v>4918</v>
      </c>
      <c r="K358" s="81">
        <f t="shared" si="86"/>
        <v>182.00000000002183</v>
      </c>
      <c r="L358" s="43"/>
      <c r="N358" s="112">
        <v>84457</v>
      </c>
      <c r="O358" s="112">
        <v>59413</v>
      </c>
      <c r="P358" s="112">
        <v>2824</v>
      </c>
      <c r="Q358" s="112"/>
      <c r="R358" s="112">
        <v>19532</v>
      </c>
      <c r="S358" s="113">
        <v>2570.5</v>
      </c>
      <c r="T358" s="113"/>
      <c r="U358" s="113"/>
      <c r="V358" s="112">
        <v>130417</v>
      </c>
      <c r="W358" s="112">
        <v>100669</v>
      </c>
      <c r="X358" s="112">
        <v>67278</v>
      </c>
      <c r="Y358" s="112">
        <v>92778</v>
      </c>
      <c r="Z358" s="112">
        <v>117646</v>
      </c>
    </row>
    <row r="359" spans="1:26" ht="18" hidden="1" customHeight="1" x14ac:dyDescent="0.2">
      <c r="A359" s="46">
        <v>43210</v>
      </c>
      <c r="B359" s="47" t="s">
        <v>100</v>
      </c>
      <c r="C359" s="48">
        <f t="shared" si="83"/>
        <v>0</v>
      </c>
      <c r="D359" s="99">
        <f t="shared" si="80"/>
        <v>0</v>
      </c>
      <c r="E359" s="45">
        <f t="shared" si="81"/>
        <v>0</v>
      </c>
      <c r="F359" s="45">
        <f t="shared" si="84"/>
        <v>0</v>
      </c>
      <c r="G359" s="79">
        <f t="shared" si="85"/>
        <v>0</v>
      </c>
      <c r="H359" s="77">
        <v>4071</v>
      </c>
      <c r="I359" s="77">
        <v>871</v>
      </c>
      <c r="J359" s="80">
        <f t="shared" si="82"/>
        <v>4942</v>
      </c>
      <c r="K359" s="81">
        <f t="shared" si="86"/>
        <v>4942</v>
      </c>
      <c r="L359" s="43"/>
      <c r="N359" s="112">
        <v>84647</v>
      </c>
      <c r="O359" s="112">
        <v>59480</v>
      </c>
      <c r="P359" s="112">
        <v>2834</v>
      </c>
      <c r="Q359" s="112"/>
      <c r="R359" s="112">
        <v>19556</v>
      </c>
      <c r="S359" s="113">
        <v>2578.1999999999998</v>
      </c>
      <c r="T359" s="113"/>
      <c r="U359" s="113"/>
      <c r="V359" s="112">
        <v>130599</v>
      </c>
      <c r="W359" s="112">
        <v>100705</v>
      </c>
      <c r="X359" s="112">
        <v>67340</v>
      </c>
      <c r="Y359" s="112">
        <v>92778</v>
      </c>
      <c r="Z359" s="112">
        <v>117756</v>
      </c>
    </row>
    <row r="360" spans="1:26" ht="18" hidden="1" customHeight="1" x14ac:dyDescent="0.2">
      <c r="A360" s="46">
        <v>43211</v>
      </c>
      <c r="B360" s="56" t="s">
        <v>103</v>
      </c>
      <c r="C360" s="48">
        <f t="shared" si="83"/>
        <v>0</v>
      </c>
      <c r="D360" s="99">
        <f t="shared" si="80"/>
        <v>0</v>
      </c>
      <c r="E360" s="45">
        <f t="shared" si="81"/>
        <v>0</v>
      </c>
      <c r="F360" s="45">
        <f t="shared" si="84"/>
        <v>0</v>
      </c>
      <c r="G360" s="79">
        <f t="shared" si="85"/>
        <v>0</v>
      </c>
      <c r="H360" s="77">
        <v>0</v>
      </c>
      <c r="I360" s="77">
        <v>2863</v>
      </c>
      <c r="J360" s="80">
        <f t="shared" si="82"/>
        <v>2863</v>
      </c>
      <c r="K360" s="81">
        <f t="shared" si="86"/>
        <v>2863</v>
      </c>
      <c r="L360" s="43"/>
      <c r="N360" s="153">
        <v>84647</v>
      </c>
      <c r="O360" s="153">
        <v>59480</v>
      </c>
      <c r="P360" s="153">
        <v>2834</v>
      </c>
      <c r="Q360" s="153"/>
      <c r="R360" s="153">
        <v>19556</v>
      </c>
      <c r="S360" s="154">
        <v>2578.1999999999998</v>
      </c>
      <c r="T360" s="154"/>
      <c r="U360" s="154"/>
      <c r="V360" s="153">
        <v>130599</v>
      </c>
      <c r="W360" s="153">
        <v>100705</v>
      </c>
      <c r="X360" s="153">
        <v>67340</v>
      </c>
      <c r="Y360" s="153">
        <v>92778</v>
      </c>
      <c r="Z360" s="153">
        <v>117756</v>
      </c>
    </row>
    <row r="361" spans="1:26" ht="18" hidden="1" customHeight="1" x14ac:dyDescent="0.2">
      <c r="A361" s="46">
        <v>43212</v>
      </c>
      <c r="B361" s="56" t="s">
        <v>104</v>
      </c>
      <c r="C361" s="48">
        <f t="shared" si="83"/>
        <v>3221</v>
      </c>
      <c r="D361" s="99">
        <f t="shared" si="80"/>
        <v>3488</v>
      </c>
      <c r="E361" s="45">
        <f t="shared" si="81"/>
        <v>3062.0000000000109</v>
      </c>
      <c r="F361" s="45">
        <f t="shared" si="84"/>
        <v>2</v>
      </c>
      <c r="G361" s="79">
        <f t="shared" si="85"/>
        <v>9773.0000000000109</v>
      </c>
      <c r="H361" s="77">
        <v>0</v>
      </c>
      <c r="I361" s="77">
        <v>2782</v>
      </c>
      <c r="J361" s="80">
        <f t="shared" si="82"/>
        <v>2782</v>
      </c>
      <c r="K361" s="81">
        <f t="shared" si="86"/>
        <v>-6991.0000000000109</v>
      </c>
      <c r="L361" s="43"/>
      <c r="N361" s="153">
        <v>84647</v>
      </c>
      <c r="O361" s="153">
        <v>59480</v>
      </c>
      <c r="P361" s="153">
        <v>2834</v>
      </c>
      <c r="Q361" s="153"/>
      <c r="R361" s="153">
        <v>19556</v>
      </c>
      <c r="S361" s="154">
        <v>2578.1999999999998</v>
      </c>
      <c r="T361" s="154"/>
      <c r="U361" s="154"/>
      <c r="V361" s="153">
        <v>130599</v>
      </c>
      <c r="W361" s="153">
        <v>100705</v>
      </c>
      <c r="X361" s="153">
        <v>67340</v>
      </c>
      <c r="Y361" s="153">
        <v>92778</v>
      </c>
      <c r="Z361" s="153">
        <v>117756</v>
      </c>
    </row>
    <row r="362" spans="1:26" ht="18" hidden="1" customHeight="1" x14ac:dyDescent="0.2">
      <c r="A362" s="46">
        <v>43213</v>
      </c>
      <c r="B362" s="47" t="s">
        <v>96</v>
      </c>
      <c r="C362" s="48">
        <f t="shared" si="83"/>
        <v>2385</v>
      </c>
      <c r="D362" s="99">
        <f t="shared" si="80"/>
        <v>1224</v>
      </c>
      <c r="E362" s="45">
        <f t="shared" si="81"/>
        <v>1188.0000000000327</v>
      </c>
      <c r="F362" s="45">
        <f t="shared" si="84"/>
        <v>58</v>
      </c>
      <c r="G362" s="79">
        <f t="shared" si="85"/>
        <v>4855.0000000000327</v>
      </c>
      <c r="H362" s="77">
        <v>4236</v>
      </c>
      <c r="I362" s="77">
        <v>741</v>
      </c>
      <c r="J362" s="80">
        <f t="shared" si="82"/>
        <v>4977</v>
      </c>
      <c r="K362" s="81">
        <f t="shared" si="86"/>
        <v>121.99999999996726</v>
      </c>
      <c r="L362" s="43"/>
      <c r="N362" s="112">
        <v>85057</v>
      </c>
      <c r="O362" s="112">
        <v>59633</v>
      </c>
      <c r="P362" s="112">
        <v>2860</v>
      </c>
      <c r="Q362" s="112"/>
      <c r="R362" s="112">
        <v>19630</v>
      </c>
      <c r="S362" s="113">
        <v>2603.1</v>
      </c>
      <c r="T362" s="113"/>
      <c r="U362" s="113"/>
      <c r="V362" s="112">
        <v>131148</v>
      </c>
      <c r="W362" s="112">
        <v>100760</v>
      </c>
      <c r="X362" s="112">
        <v>67416</v>
      </c>
      <c r="Y362" s="112">
        <v>92778</v>
      </c>
      <c r="Z362" s="112">
        <v>117758</v>
      </c>
    </row>
    <row r="363" spans="1:26" ht="18" hidden="1" customHeight="1" x14ac:dyDescent="0.2">
      <c r="A363" s="46">
        <v>43214</v>
      </c>
      <c r="B363" s="47" t="s">
        <v>97</v>
      </c>
      <c r="C363" s="48">
        <f t="shared" si="83"/>
        <v>1950</v>
      </c>
      <c r="D363" s="99">
        <f t="shared" si="80"/>
        <v>2024</v>
      </c>
      <c r="E363" s="45">
        <f t="shared" si="81"/>
        <v>994.99999999998909</v>
      </c>
      <c r="F363" s="45">
        <f t="shared" si="84"/>
        <v>68</v>
      </c>
      <c r="G363" s="79">
        <f t="shared" si="85"/>
        <v>5036.9999999999891</v>
      </c>
      <c r="H363" s="77">
        <v>3955</v>
      </c>
      <c r="I363" s="77">
        <v>780</v>
      </c>
      <c r="J363" s="80">
        <f t="shared" si="82"/>
        <v>4735</v>
      </c>
      <c r="K363" s="81">
        <f t="shared" si="86"/>
        <v>-301.99999999998909</v>
      </c>
      <c r="L363" s="43"/>
      <c r="N363" s="112">
        <v>85197</v>
      </c>
      <c r="O363" s="112">
        <v>59686</v>
      </c>
      <c r="P363" s="112">
        <v>2873</v>
      </c>
      <c r="Q363" s="112"/>
      <c r="R363" s="112">
        <v>19654</v>
      </c>
      <c r="S363" s="113">
        <v>2612.8000000000002</v>
      </c>
      <c r="T363" s="113"/>
      <c r="U363" s="113"/>
      <c r="V363" s="112">
        <v>131381</v>
      </c>
      <c r="W363" s="112">
        <v>100801</v>
      </c>
      <c r="X363" s="112">
        <v>67486</v>
      </c>
      <c r="Y363" s="112">
        <v>92778</v>
      </c>
      <c r="Z363" s="112">
        <v>117816</v>
      </c>
    </row>
    <row r="364" spans="1:26" ht="18" hidden="1" customHeight="1" x14ac:dyDescent="0.2">
      <c r="A364" s="46">
        <v>43215</v>
      </c>
      <c r="B364" s="47" t="s">
        <v>98</v>
      </c>
      <c r="C364" s="48">
        <f t="shared" si="83"/>
        <v>1997</v>
      </c>
      <c r="D364" s="99">
        <f t="shared" si="80"/>
        <v>464</v>
      </c>
      <c r="E364" s="45">
        <f t="shared" si="81"/>
        <v>985</v>
      </c>
      <c r="F364" s="45">
        <f t="shared" si="84"/>
        <v>58</v>
      </c>
      <c r="G364" s="79">
        <f t="shared" si="85"/>
        <v>3504</v>
      </c>
      <c r="H364" s="77">
        <v>3648</v>
      </c>
      <c r="I364" s="77">
        <v>752</v>
      </c>
      <c r="J364" s="80">
        <f t="shared" si="82"/>
        <v>4400</v>
      </c>
      <c r="K364" s="81">
        <f t="shared" si="86"/>
        <v>896</v>
      </c>
      <c r="L364" s="43"/>
      <c r="N364" s="112">
        <v>85438</v>
      </c>
      <c r="O364" s="112">
        <v>59739</v>
      </c>
      <c r="P364" s="112">
        <v>2885</v>
      </c>
      <c r="Q364" s="112"/>
      <c r="R364" s="112">
        <v>19677</v>
      </c>
      <c r="S364" s="113">
        <v>2620.9</v>
      </c>
      <c r="T364" s="113"/>
      <c r="U364" s="113"/>
      <c r="V364" s="112">
        <v>131571</v>
      </c>
      <c r="W364" s="112">
        <v>100832</v>
      </c>
      <c r="X364" s="112">
        <v>67550</v>
      </c>
      <c r="Y364" s="112">
        <v>92778</v>
      </c>
      <c r="Z364" s="112">
        <v>117884</v>
      </c>
    </row>
    <row r="365" spans="1:26" ht="18" hidden="1" customHeight="1" x14ac:dyDescent="0.2">
      <c r="A365" s="46">
        <v>43216</v>
      </c>
      <c r="B365" s="47" t="s">
        <v>99</v>
      </c>
      <c r="C365" s="48">
        <f t="shared" si="83"/>
        <v>2243</v>
      </c>
      <c r="D365" s="99">
        <f t="shared" si="80"/>
        <v>1192</v>
      </c>
      <c r="E365" s="45">
        <f t="shared" si="81"/>
        <v>416.99999999996726</v>
      </c>
      <c r="F365" s="45">
        <f t="shared" si="84"/>
        <v>57</v>
      </c>
      <c r="G365" s="79">
        <f t="shared" si="85"/>
        <v>3908.9999999999673</v>
      </c>
      <c r="H365" s="77">
        <v>3802</v>
      </c>
      <c r="I365" s="77">
        <v>764</v>
      </c>
      <c r="J365" s="80">
        <f t="shared" si="82"/>
        <v>4566</v>
      </c>
      <c r="K365" s="81">
        <f t="shared" si="86"/>
        <v>657.00000000003274</v>
      </c>
      <c r="L365" s="43"/>
      <c r="N365" s="112">
        <v>85487</v>
      </c>
      <c r="O365" s="112">
        <v>59792</v>
      </c>
      <c r="P365" s="112">
        <v>2894</v>
      </c>
      <c r="Q365" s="112"/>
      <c r="R365" s="112">
        <v>19702</v>
      </c>
      <c r="S365" s="113">
        <v>2628.9</v>
      </c>
      <c r="T365" s="113"/>
      <c r="U365" s="113"/>
      <c r="V365" s="112">
        <v>131756</v>
      </c>
      <c r="W365" s="112">
        <v>100862</v>
      </c>
      <c r="X365" s="112">
        <v>67621</v>
      </c>
      <c r="Y365" s="112">
        <v>92778</v>
      </c>
      <c r="Z365" s="112">
        <v>117942</v>
      </c>
    </row>
    <row r="366" spans="1:26" ht="18" hidden="1" customHeight="1" x14ac:dyDescent="0.2">
      <c r="A366" s="46">
        <v>43217</v>
      </c>
      <c r="B366" s="47" t="s">
        <v>100</v>
      </c>
      <c r="C366" s="48">
        <f t="shared" si="83"/>
        <v>0</v>
      </c>
      <c r="D366" s="99">
        <f t="shared" si="80"/>
        <v>0</v>
      </c>
      <c r="E366" s="45">
        <f t="shared" si="81"/>
        <v>0</v>
      </c>
      <c r="F366" s="45">
        <f t="shared" si="84"/>
        <v>0</v>
      </c>
      <c r="G366" s="79">
        <f t="shared" si="85"/>
        <v>0</v>
      </c>
      <c r="H366" s="77">
        <v>3462</v>
      </c>
      <c r="I366" s="77">
        <v>678</v>
      </c>
      <c r="J366" s="80">
        <f t="shared" si="82"/>
        <v>4140</v>
      </c>
      <c r="K366" s="81">
        <f t="shared" si="86"/>
        <v>4140</v>
      </c>
      <c r="L366" s="43"/>
      <c r="N366" s="112">
        <v>85627</v>
      </c>
      <c r="O366" s="112">
        <v>59846</v>
      </c>
      <c r="P366" s="112">
        <v>2903</v>
      </c>
      <c r="Q366" s="112"/>
      <c r="R366" s="112">
        <v>19723</v>
      </c>
      <c r="S366" s="113">
        <v>2632.2</v>
      </c>
      <c r="T366" s="113"/>
      <c r="U366" s="113"/>
      <c r="V366" s="112">
        <v>131939</v>
      </c>
      <c r="W366" s="112">
        <v>100899</v>
      </c>
      <c r="X366" s="112">
        <v>67694</v>
      </c>
      <c r="Y366" s="112">
        <v>92778</v>
      </c>
      <c r="Z366" s="112">
        <v>117999</v>
      </c>
    </row>
    <row r="367" spans="1:26" ht="18" hidden="1" customHeight="1" x14ac:dyDescent="0.2">
      <c r="A367" s="46">
        <v>43218</v>
      </c>
      <c r="B367" s="47" t="s">
        <v>101</v>
      </c>
      <c r="C367" s="48">
        <f t="shared" si="83"/>
        <v>0</v>
      </c>
      <c r="D367" s="99">
        <f t="shared" si="80"/>
        <v>0</v>
      </c>
      <c r="E367" s="45">
        <f t="shared" si="81"/>
        <v>0</v>
      </c>
      <c r="F367" s="45">
        <f t="shared" si="84"/>
        <v>0</v>
      </c>
      <c r="G367" s="79">
        <f t="shared" si="85"/>
        <v>0</v>
      </c>
      <c r="H367" s="77">
        <v>0</v>
      </c>
      <c r="I367" s="77">
        <v>1643</v>
      </c>
      <c r="J367" s="80">
        <f t="shared" si="82"/>
        <v>1643</v>
      </c>
      <c r="K367" s="81">
        <f t="shared" si="86"/>
        <v>1643</v>
      </c>
      <c r="L367" s="43"/>
      <c r="N367" s="160">
        <v>85627</v>
      </c>
      <c r="O367" s="160">
        <v>59846</v>
      </c>
      <c r="P367" s="160">
        <v>2903</v>
      </c>
      <c r="Q367" s="160"/>
      <c r="R367" s="160">
        <v>19723</v>
      </c>
      <c r="S367" s="161">
        <v>2632.2</v>
      </c>
      <c r="T367" s="161"/>
      <c r="U367" s="161"/>
      <c r="V367" s="160">
        <v>131939</v>
      </c>
      <c r="W367" s="160">
        <v>100899</v>
      </c>
      <c r="X367" s="160">
        <v>67694</v>
      </c>
      <c r="Y367" s="160">
        <v>92778</v>
      </c>
      <c r="Z367" s="160">
        <v>117999</v>
      </c>
    </row>
    <row r="368" spans="1:26" ht="18" hidden="1" customHeight="1" x14ac:dyDescent="0.2">
      <c r="A368" s="46">
        <v>43219</v>
      </c>
      <c r="B368" s="47" t="s">
        <v>95</v>
      </c>
      <c r="C368" s="48">
        <f t="shared" si="83"/>
        <v>3354</v>
      </c>
      <c r="D368" s="99">
        <f t="shared" si="80"/>
        <v>1264</v>
      </c>
      <c r="E368" s="45">
        <f t="shared" si="81"/>
        <v>3443</v>
      </c>
      <c r="F368" s="45">
        <f t="shared" si="84"/>
        <v>193</v>
      </c>
      <c r="G368" s="79">
        <f t="shared" si="85"/>
        <v>8254</v>
      </c>
      <c r="H368" s="77">
        <v>0</v>
      </c>
      <c r="I368" s="77">
        <v>2025</v>
      </c>
      <c r="J368" s="80">
        <f t="shared" si="82"/>
        <v>2025</v>
      </c>
      <c r="K368" s="81">
        <f t="shared" si="86"/>
        <v>-6229</v>
      </c>
      <c r="L368" s="43"/>
      <c r="N368" s="160">
        <v>85627</v>
      </c>
      <c r="O368" s="160">
        <v>59846</v>
      </c>
      <c r="P368" s="160">
        <v>2903</v>
      </c>
      <c r="Q368" s="160"/>
      <c r="R368" s="160">
        <v>19723</v>
      </c>
      <c r="S368" s="161">
        <v>2632.2</v>
      </c>
      <c r="T368" s="161"/>
      <c r="U368" s="161"/>
      <c r="V368" s="160">
        <v>131939</v>
      </c>
      <c r="W368" s="160">
        <v>100899</v>
      </c>
      <c r="X368" s="160">
        <v>67694</v>
      </c>
      <c r="Y368" s="160">
        <v>92778</v>
      </c>
      <c r="Z368" s="160">
        <v>117999</v>
      </c>
    </row>
    <row r="369" spans="1:26" ht="18" hidden="1" customHeight="1" x14ac:dyDescent="0.2">
      <c r="A369" s="46">
        <v>43220</v>
      </c>
      <c r="B369" s="47" t="s">
        <v>96</v>
      </c>
      <c r="C369" s="48">
        <f t="shared" si="83"/>
        <v>2192</v>
      </c>
      <c r="D369" s="99">
        <f t="shared" si="80"/>
        <v>1192</v>
      </c>
      <c r="E369" s="45">
        <f t="shared" si="81"/>
        <v>1166</v>
      </c>
      <c r="F369" s="45">
        <f t="shared" si="84"/>
        <v>68</v>
      </c>
      <c r="G369" s="79">
        <f t="shared" si="85"/>
        <v>4618</v>
      </c>
      <c r="H369" s="77">
        <v>4374</v>
      </c>
      <c r="I369" s="77">
        <v>754</v>
      </c>
      <c r="J369" s="80">
        <f t="shared" si="82"/>
        <v>5128</v>
      </c>
      <c r="K369" s="81">
        <f t="shared" si="86"/>
        <v>510</v>
      </c>
      <c r="L369" s="43"/>
      <c r="N369" s="112">
        <v>85767</v>
      </c>
      <c r="O369" s="112">
        <v>59901</v>
      </c>
      <c r="P369" s="112">
        <v>2921</v>
      </c>
      <c r="Q369" s="112"/>
      <c r="R369" s="112">
        <v>19806</v>
      </c>
      <c r="S369" s="113">
        <v>2660.2</v>
      </c>
      <c r="T369" s="113"/>
      <c r="U369" s="113"/>
      <c r="V369" s="112">
        <v>132437</v>
      </c>
      <c r="W369" s="112">
        <v>100950</v>
      </c>
      <c r="X369" s="112">
        <v>67796</v>
      </c>
      <c r="Y369" s="112">
        <v>92778</v>
      </c>
      <c r="Z369" s="112">
        <v>118192</v>
      </c>
    </row>
    <row r="370" spans="1:26" ht="18" hidden="1" customHeight="1" x14ac:dyDescent="0.2">
      <c r="A370" s="46">
        <v>43221</v>
      </c>
      <c r="B370" s="47" t="s">
        <v>97</v>
      </c>
      <c r="C370" s="48">
        <f t="shared" si="83"/>
        <v>511</v>
      </c>
      <c r="D370" s="99">
        <f t="shared" si="80"/>
        <v>1008</v>
      </c>
      <c r="E370" s="45">
        <f t="shared" si="81"/>
        <v>1058.0000000000437</v>
      </c>
      <c r="F370" s="45">
        <f t="shared" si="84"/>
        <v>75</v>
      </c>
      <c r="G370" s="79">
        <f t="shared" si="85"/>
        <v>2652.0000000000437</v>
      </c>
      <c r="H370" s="77">
        <v>0</v>
      </c>
      <c r="I370" s="77">
        <v>2803</v>
      </c>
      <c r="J370" s="80">
        <f>H370+I370</f>
        <v>2803</v>
      </c>
      <c r="K370" s="81">
        <f t="shared" si="86"/>
        <v>150.99999999995634</v>
      </c>
      <c r="L370" s="43"/>
      <c r="N370" s="112">
        <v>85907</v>
      </c>
      <c r="O370" s="112">
        <v>59950</v>
      </c>
      <c r="P370" s="112">
        <v>2930</v>
      </c>
      <c r="Q370" s="112"/>
      <c r="R370" s="112">
        <v>19832</v>
      </c>
      <c r="S370" s="113">
        <v>2669.7</v>
      </c>
      <c r="T370" s="113"/>
      <c r="U370" s="113"/>
      <c r="V370" s="112">
        <v>132645</v>
      </c>
      <c r="W370" s="112">
        <v>100994</v>
      </c>
      <c r="X370" s="112">
        <v>67844</v>
      </c>
      <c r="Y370" s="112">
        <v>92778</v>
      </c>
      <c r="Z370" s="112">
        <v>118260</v>
      </c>
    </row>
    <row r="371" spans="1:26" ht="18" hidden="1" customHeight="1" x14ac:dyDescent="0.2">
      <c r="A371" s="46">
        <v>43222</v>
      </c>
      <c r="B371" s="47" t="s">
        <v>98</v>
      </c>
      <c r="C371" s="48">
        <f t="shared" si="83"/>
        <v>2818</v>
      </c>
      <c r="D371" s="99">
        <f t="shared" si="80"/>
        <v>1000</v>
      </c>
      <c r="E371" s="45">
        <f t="shared" si="81"/>
        <v>1009.9999999999782</v>
      </c>
      <c r="F371" s="45">
        <f t="shared" si="84"/>
        <v>92</v>
      </c>
      <c r="G371" s="79">
        <f t="shared" si="85"/>
        <v>4919.9999999999782</v>
      </c>
      <c r="H371" s="77">
        <v>4331</v>
      </c>
      <c r="I371" s="77">
        <v>713</v>
      </c>
      <c r="J371" s="80">
        <f t="shared" ref="J371:J430" si="87">H371+I371</f>
        <v>5044</v>
      </c>
      <c r="K371" s="81">
        <f t="shared" si="86"/>
        <v>124.00000000002183</v>
      </c>
      <c r="L371" s="43"/>
      <c r="N371" s="112">
        <v>86027</v>
      </c>
      <c r="O371" s="112">
        <v>59994</v>
      </c>
      <c r="P371" s="112">
        <v>2936</v>
      </c>
      <c r="Q371" s="112"/>
      <c r="R371" s="112">
        <v>19858</v>
      </c>
      <c r="S371" s="113">
        <v>2678.3</v>
      </c>
      <c r="T371" s="113"/>
      <c r="U371" s="113"/>
      <c r="V371" s="112">
        <v>132800</v>
      </c>
      <c r="W371" s="112">
        <v>101004</v>
      </c>
      <c r="X371" s="112">
        <v>67847</v>
      </c>
      <c r="Y371" s="112">
        <v>92778</v>
      </c>
      <c r="Z371" s="112">
        <v>118335</v>
      </c>
    </row>
    <row r="372" spans="1:26" ht="18" hidden="1" customHeight="1" x14ac:dyDescent="0.2">
      <c r="A372" s="46">
        <v>43223</v>
      </c>
      <c r="B372" s="47" t="s">
        <v>99</v>
      </c>
      <c r="C372" s="48">
        <f t="shared" si="83"/>
        <v>2242</v>
      </c>
      <c r="D372" s="99">
        <f t="shared" si="80"/>
        <v>960</v>
      </c>
      <c r="E372" s="45">
        <f t="shared" si="81"/>
        <v>810</v>
      </c>
      <c r="F372" s="45">
        <f t="shared" si="84"/>
        <v>68</v>
      </c>
      <c r="G372" s="79">
        <f t="shared" si="85"/>
        <v>4080</v>
      </c>
      <c r="H372" s="77">
        <v>3532</v>
      </c>
      <c r="I372" s="77">
        <v>694</v>
      </c>
      <c r="J372" s="80">
        <f t="shared" si="87"/>
        <v>4226</v>
      </c>
      <c r="K372" s="81">
        <f t="shared" si="86"/>
        <v>146</v>
      </c>
      <c r="L372" s="43"/>
      <c r="N372" s="112">
        <v>86137</v>
      </c>
      <c r="O372" s="112">
        <v>60034</v>
      </c>
      <c r="P372" s="112">
        <v>2951</v>
      </c>
      <c r="Q372" s="112"/>
      <c r="R372" s="112">
        <v>19884</v>
      </c>
      <c r="S372" s="113">
        <v>2686.5</v>
      </c>
      <c r="T372" s="113"/>
      <c r="U372" s="113"/>
      <c r="V372" s="112">
        <v>133094</v>
      </c>
      <c r="W372" s="112">
        <v>101054</v>
      </c>
      <c r="X372" s="112">
        <v>67924</v>
      </c>
      <c r="Y372" s="112">
        <v>92778</v>
      </c>
      <c r="Z372" s="112">
        <v>118427</v>
      </c>
    </row>
    <row r="373" spans="1:26" ht="18" hidden="1" customHeight="1" x14ac:dyDescent="0.2">
      <c r="A373" s="46">
        <v>43224</v>
      </c>
      <c r="B373" s="47" t="s">
        <v>100</v>
      </c>
      <c r="C373" s="48">
        <f t="shared" si="83"/>
        <v>0</v>
      </c>
      <c r="D373" s="99">
        <f t="shared" si="80"/>
        <v>0</v>
      </c>
      <c r="E373" s="45">
        <f t="shared" si="81"/>
        <v>0</v>
      </c>
      <c r="F373" s="45">
        <f t="shared" si="84"/>
        <v>0</v>
      </c>
      <c r="G373" s="79">
        <f t="shared" si="85"/>
        <v>0</v>
      </c>
      <c r="H373" s="77">
        <v>3716</v>
      </c>
      <c r="I373" s="77">
        <v>682</v>
      </c>
      <c r="J373" s="80">
        <f t="shared" si="87"/>
        <v>4398</v>
      </c>
      <c r="K373" s="81">
        <f t="shared" si="86"/>
        <v>4398</v>
      </c>
      <c r="L373" s="43"/>
      <c r="N373" s="112">
        <v>86247</v>
      </c>
      <c r="O373" s="112">
        <v>60073</v>
      </c>
      <c r="P373" s="112">
        <v>2961</v>
      </c>
      <c r="Q373" s="112"/>
      <c r="R373" s="112">
        <v>19914</v>
      </c>
      <c r="S373" s="113">
        <v>2693</v>
      </c>
      <c r="T373" s="113"/>
      <c r="U373" s="113"/>
      <c r="V373" s="112">
        <v>133296</v>
      </c>
      <c r="W373" s="112">
        <v>101090</v>
      </c>
      <c r="X373" s="112">
        <v>67998</v>
      </c>
      <c r="Y373" s="112">
        <v>92778</v>
      </c>
      <c r="Z373" s="112">
        <v>118495</v>
      </c>
    </row>
    <row r="374" spans="1:26" ht="18" hidden="1" customHeight="1" x14ac:dyDescent="0.2">
      <c r="A374" s="46">
        <v>43225</v>
      </c>
      <c r="B374" s="47" t="s">
        <v>101</v>
      </c>
      <c r="C374" s="48">
        <f t="shared" si="83"/>
        <v>0</v>
      </c>
      <c r="D374" s="99">
        <f t="shared" si="80"/>
        <v>0</v>
      </c>
      <c r="E374" s="45">
        <f t="shared" si="81"/>
        <v>0</v>
      </c>
      <c r="F374" s="45">
        <f t="shared" si="84"/>
        <v>0</v>
      </c>
      <c r="G374" s="79">
        <f t="shared" si="85"/>
        <v>0</v>
      </c>
      <c r="H374" s="77">
        <v>0</v>
      </c>
      <c r="I374" s="77">
        <v>2691</v>
      </c>
      <c r="J374" s="80">
        <f t="shared" si="87"/>
        <v>2691</v>
      </c>
      <c r="K374" s="81">
        <f t="shared" si="86"/>
        <v>2691</v>
      </c>
      <c r="L374" s="43"/>
      <c r="N374" s="153">
        <v>86247</v>
      </c>
      <c r="O374" s="153">
        <v>60073</v>
      </c>
      <c r="P374" s="153">
        <v>2961</v>
      </c>
      <c r="Q374" s="153"/>
      <c r="R374" s="153">
        <v>19914</v>
      </c>
      <c r="S374" s="154">
        <v>2693</v>
      </c>
      <c r="T374" s="154"/>
      <c r="U374" s="154"/>
      <c r="V374" s="153">
        <v>133296</v>
      </c>
      <c r="W374" s="153">
        <v>101090</v>
      </c>
      <c r="X374" s="153">
        <v>67998</v>
      </c>
      <c r="Y374" s="153">
        <v>92778</v>
      </c>
      <c r="Z374" s="153">
        <v>118495</v>
      </c>
    </row>
    <row r="375" spans="1:26" ht="18" hidden="1" customHeight="1" x14ac:dyDescent="0.2">
      <c r="A375" s="46">
        <v>43226</v>
      </c>
      <c r="B375" s="47" t="s">
        <v>95</v>
      </c>
      <c r="C375" s="48">
        <f t="shared" si="83"/>
        <v>3322</v>
      </c>
      <c r="D375" s="99">
        <f t="shared" si="80"/>
        <v>2736</v>
      </c>
      <c r="E375" s="45">
        <f t="shared" si="81"/>
        <v>2871.0000000000218</v>
      </c>
      <c r="F375" s="45">
        <f t="shared" si="84"/>
        <v>195</v>
      </c>
      <c r="G375" s="79">
        <f t="shared" si="85"/>
        <v>9124.0000000000218</v>
      </c>
      <c r="H375" s="77">
        <v>0</v>
      </c>
      <c r="I375" s="77">
        <v>2500</v>
      </c>
      <c r="J375" s="80">
        <f t="shared" si="87"/>
        <v>2500</v>
      </c>
      <c r="K375" s="81">
        <f t="shared" si="86"/>
        <v>-6624.0000000000218</v>
      </c>
      <c r="L375" s="43"/>
      <c r="N375" s="153">
        <v>86247</v>
      </c>
      <c r="O375" s="153">
        <v>60073</v>
      </c>
      <c r="P375" s="153">
        <v>2961</v>
      </c>
      <c r="Q375" s="153"/>
      <c r="R375" s="153">
        <v>19914</v>
      </c>
      <c r="S375" s="154">
        <v>2693</v>
      </c>
      <c r="T375" s="154"/>
      <c r="U375" s="154"/>
      <c r="V375" s="153">
        <v>133296</v>
      </c>
      <c r="W375" s="153">
        <v>101090</v>
      </c>
      <c r="X375" s="153">
        <v>67998</v>
      </c>
      <c r="Y375" s="153">
        <v>92778</v>
      </c>
      <c r="Z375" s="153">
        <v>118495</v>
      </c>
    </row>
    <row r="376" spans="1:26" ht="18" hidden="1" customHeight="1" x14ac:dyDescent="0.2">
      <c r="A376" s="46">
        <v>43227</v>
      </c>
      <c r="B376" s="47" t="s">
        <v>96</v>
      </c>
      <c r="C376" s="48">
        <f t="shared" si="83"/>
        <v>2626</v>
      </c>
      <c r="D376" s="99">
        <f t="shared" si="80"/>
        <v>1328</v>
      </c>
      <c r="E376" s="45">
        <f t="shared" si="81"/>
        <v>1083.9999999999673</v>
      </c>
      <c r="F376" s="45">
        <f t="shared" si="84"/>
        <v>94</v>
      </c>
      <c r="G376" s="79">
        <f t="shared" si="85"/>
        <v>5131.9999999999673</v>
      </c>
      <c r="H376" s="77">
        <v>4355</v>
      </c>
      <c r="I376" s="77">
        <v>761</v>
      </c>
      <c r="J376" s="80">
        <f t="shared" si="87"/>
        <v>5116</v>
      </c>
      <c r="K376" s="81">
        <f t="shared" si="86"/>
        <v>-15.999999999967258</v>
      </c>
      <c r="L376" s="43"/>
      <c r="N376" s="112">
        <v>86567</v>
      </c>
      <c r="O376" s="112">
        <v>60207</v>
      </c>
      <c r="P376" s="112">
        <v>2983</v>
      </c>
      <c r="Q376" s="112"/>
      <c r="R376" s="112">
        <v>19989</v>
      </c>
      <c r="S376" s="113">
        <v>2716.3</v>
      </c>
      <c r="T376" s="113"/>
      <c r="U376" s="113"/>
      <c r="V376" s="112">
        <v>133770</v>
      </c>
      <c r="W376" s="112">
        <v>101152</v>
      </c>
      <c r="X376" s="112">
        <v>68070</v>
      </c>
      <c r="Y376" s="112">
        <v>92778</v>
      </c>
      <c r="Z376" s="112">
        <v>118690</v>
      </c>
    </row>
    <row r="377" spans="1:26" ht="18" hidden="1" customHeight="1" x14ac:dyDescent="0.2">
      <c r="A377" s="46">
        <v>43228</v>
      </c>
      <c r="B377" s="47" t="s">
        <v>97</v>
      </c>
      <c r="C377" s="48">
        <f t="shared" si="83"/>
        <v>2549</v>
      </c>
      <c r="D377" s="99">
        <f t="shared" si="80"/>
        <v>1192</v>
      </c>
      <c r="E377" s="45">
        <f t="shared" si="81"/>
        <v>854.00000000001091</v>
      </c>
      <c r="F377" s="45">
        <f t="shared" si="84"/>
        <v>80</v>
      </c>
      <c r="G377" s="79">
        <f t="shared" si="85"/>
        <v>4675.0000000000109</v>
      </c>
      <c r="H377" s="77">
        <v>4081</v>
      </c>
      <c r="I377" s="77">
        <v>764</v>
      </c>
      <c r="J377" s="80">
        <f t="shared" si="87"/>
        <v>4845</v>
      </c>
      <c r="K377" s="81">
        <f t="shared" si="86"/>
        <v>169.99999999998909</v>
      </c>
      <c r="L377" s="43"/>
      <c r="N377" s="112">
        <v>86717</v>
      </c>
      <c r="O377" s="112">
        <v>60258</v>
      </c>
      <c r="P377" s="112">
        <v>2999</v>
      </c>
      <c r="Q377" s="112"/>
      <c r="R377" s="112">
        <v>20017</v>
      </c>
      <c r="S377" s="113">
        <v>2725.1</v>
      </c>
      <c r="T377" s="113"/>
      <c r="U377" s="113"/>
      <c r="V377" s="112">
        <v>134048</v>
      </c>
      <c r="W377" s="112">
        <v>101198</v>
      </c>
      <c r="X377" s="112">
        <v>68143</v>
      </c>
      <c r="Y377" s="112">
        <v>92778</v>
      </c>
      <c r="Z377" s="112">
        <v>118784</v>
      </c>
    </row>
    <row r="378" spans="1:26" ht="18" hidden="1" customHeight="1" x14ac:dyDescent="0.2">
      <c r="A378" s="46">
        <v>43229</v>
      </c>
      <c r="B378" s="47" t="s">
        <v>98</v>
      </c>
      <c r="C378" s="48">
        <f t="shared" si="83"/>
        <v>2173</v>
      </c>
      <c r="D378" s="99">
        <f t="shared" si="80"/>
        <v>1192</v>
      </c>
      <c r="E378" s="45">
        <f t="shared" si="81"/>
        <v>816.99999999998909</v>
      </c>
      <c r="F378" s="45">
        <f t="shared" si="84"/>
        <v>65</v>
      </c>
      <c r="G378" s="79">
        <f t="shared" si="85"/>
        <v>4246.9999999999891</v>
      </c>
      <c r="H378" s="77">
        <v>3629</v>
      </c>
      <c r="I378" s="77">
        <v>736</v>
      </c>
      <c r="J378" s="80">
        <f t="shared" si="87"/>
        <v>4365</v>
      </c>
      <c r="K378" s="81">
        <f t="shared" si="86"/>
        <v>118.00000000001091</v>
      </c>
      <c r="L378" s="43"/>
      <c r="N378" s="112">
        <v>86857</v>
      </c>
      <c r="O378" s="112">
        <v>60308</v>
      </c>
      <c r="P378" s="112">
        <v>3008</v>
      </c>
      <c r="Q378" s="112"/>
      <c r="R378" s="112">
        <v>20043</v>
      </c>
      <c r="S378" s="113">
        <v>2732</v>
      </c>
      <c r="T378" s="113"/>
      <c r="U378" s="113"/>
      <c r="V378" s="112">
        <v>134293</v>
      </c>
      <c r="W378" s="112">
        <v>101243</v>
      </c>
      <c r="X378" s="112">
        <v>68215</v>
      </c>
      <c r="Y378" s="112">
        <v>92778</v>
      </c>
      <c r="Z378" s="112">
        <v>118864</v>
      </c>
    </row>
    <row r="379" spans="1:26" ht="18" hidden="1" customHeight="1" x14ac:dyDescent="0.2">
      <c r="A379" s="46">
        <v>43230</v>
      </c>
      <c r="B379" s="47" t="s">
        <v>99</v>
      </c>
      <c r="C379" s="48">
        <f t="shared" si="83"/>
        <v>2311</v>
      </c>
      <c r="D379" s="99">
        <f t="shared" si="80"/>
        <v>1216</v>
      </c>
      <c r="E379" s="45">
        <f t="shared" si="81"/>
        <v>781.00000000002183</v>
      </c>
      <c r="F379" s="45">
        <f t="shared" si="84"/>
        <v>63</v>
      </c>
      <c r="G379" s="79">
        <f t="shared" si="85"/>
        <v>4371.0000000000218</v>
      </c>
      <c r="H379" s="77">
        <v>3736</v>
      </c>
      <c r="I379" s="77">
        <v>767</v>
      </c>
      <c r="J379" s="80">
        <f t="shared" si="87"/>
        <v>4503</v>
      </c>
      <c r="K379" s="81">
        <f t="shared" si="86"/>
        <v>131.99999999997817</v>
      </c>
      <c r="L379" s="43"/>
      <c r="N379" s="112">
        <v>86997</v>
      </c>
      <c r="O379" s="112">
        <v>60362</v>
      </c>
      <c r="P379" s="112">
        <v>3017</v>
      </c>
      <c r="Q379" s="112"/>
      <c r="R379" s="112">
        <v>20068</v>
      </c>
      <c r="S379" s="113">
        <v>2738.6</v>
      </c>
      <c r="T379" s="113"/>
      <c r="U379" s="113"/>
      <c r="V379" s="112">
        <v>134482</v>
      </c>
      <c r="W379" s="112">
        <v>101278</v>
      </c>
      <c r="X379" s="112">
        <v>68287</v>
      </c>
      <c r="Y379" s="112">
        <v>92778</v>
      </c>
      <c r="Z379" s="112">
        <v>118929</v>
      </c>
    </row>
    <row r="380" spans="1:26" ht="18" hidden="1" customHeight="1" x14ac:dyDescent="0.2">
      <c r="A380" s="46">
        <v>43231</v>
      </c>
      <c r="B380" s="47" t="s">
        <v>100</v>
      </c>
      <c r="C380" s="48">
        <f t="shared" si="83"/>
        <v>0</v>
      </c>
      <c r="D380" s="99">
        <f t="shared" si="80"/>
        <v>0</v>
      </c>
      <c r="E380" s="45">
        <f t="shared" si="81"/>
        <v>0</v>
      </c>
      <c r="F380" s="45">
        <f t="shared" si="84"/>
        <v>0</v>
      </c>
      <c r="G380" s="79">
        <f t="shared" si="85"/>
        <v>0</v>
      </c>
      <c r="H380" s="77">
        <v>3723</v>
      </c>
      <c r="I380" s="77">
        <v>675</v>
      </c>
      <c r="J380" s="80">
        <f t="shared" si="87"/>
        <v>4398</v>
      </c>
      <c r="K380" s="81">
        <f t="shared" si="86"/>
        <v>4398</v>
      </c>
      <c r="L380" s="43"/>
      <c r="N380" s="112">
        <v>87137</v>
      </c>
      <c r="O380" s="112">
        <v>60412</v>
      </c>
      <c r="P380" s="112">
        <v>3029</v>
      </c>
      <c r="Q380" s="112"/>
      <c r="R380" s="112">
        <v>20093</v>
      </c>
      <c r="S380" s="113">
        <v>2744.9</v>
      </c>
      <c r="T380" s="113"/>
      <c r="U380" s="113"/>
      <c r="V380" s="112">
        <v>134657</v>
      </c>
      <c r="W380" s="112">
        <v>101317</v>
      </c>
      <c r="X380" s="112">
        <v>68361</v>
      </c>
      <c r="Y380" s="112">
        <v>92778</v>
      </c>
      <c r="Z380" s="112">
        <v>118992</v>
      </c>
    </row>
    <row r="381" spans="1:26" ht="18" hidden="1" customHeight="1" x14ac:dyDescent="0.2">
      <c r="A381" s="46">
        <v>43232</v>
      </c>
      <c r="B381" s="47" t="s">
        <v>101</v>
      </c>
      <c r="C381" s="48">
        <f t="shared" si="83"/>
        <v>0</v>
      </c>
      <c r="D381" s="99">
        <f t="shared" si="80"/>
        <v>0</v>
      </c>
      <c r="E381" s="45">
        <f t="shared" si="81"/>
        <v>0</v>
      </c>
      <c r="F381" s="45">
        <f t="shared" si="84"/>
        <v>0</v>
      </c>
      <c r="G381" s="79">
        <f t="shared" si="85"/>
        <v>0</v>
      </c>
      <c r="H381" s="77">
        <v>0</v>
      </c>
      <c r="I381" s="77">
        <v>1748</v>
      </c>
      <c r="J381" s="80">
        <f t="shared" si="87"/>
        <v>1748</v>
      </c>
      <c r="K381" s="81">
        <f t="shared" si="86"/>
        <v>1748</v>
      </c>
      <c r="L381" s="43"/>
      <c r="N381" s="153">
        <v>87137</v>
      </c>
      <c r="O381" s="153">
        <v>60412</v>
      </c>
      <c r="P381" s="153">
        <v>3029</v>
      </c>
      <c r="Q381" s="153"/>
      <c r="R381" s="153">
        <v>20093</v>
      </c>
      <c r="S381" s="154">
        <v>2744.9</v>
      </c>
      <c r="T381" s="154"/>
      <c r="U381" s="154"/>
      <c r="V381" s="153">
        <v>134657</v>
      </c>
      <c r="W381" s="153">
        <v>101317</v>
      </c>
      <c r="X381" s="153">
        <v>68361</v>
      </c>
      <c r="Y381" s="153">
        <v>92778</v>
      </c>
      <c r="Z381" s="153">
        <v>118992</v>
      </c>
    </row>
    <row r="382" spans="1:26" ht="18" hidden="1" customHeight="1" x14ac:dyDescent="0.2">
      <c r="A382" s="46">
        <v>43233</v>
      </c>
      <c r="B382" s="47" t="s">
        <v>95</v>
      </c>
      <c r="C382" s="48">
        <f t="shared" si="83"/>
        <v>3528</v>
      </c>
      <c r="D382" s="99">
        <f t="shared" si="80"/>
        <v>2128</v>
      </c>
      <c r="E382" s="45">
        <f t="shared" si="81"/>
        <v>2936.9999999999673</v>
      </c>
      <c r="F382" s="45">
        <f t="shared" si="84"/>
        <v>225</v>
      </c>
      <c r="G382" s="79">
        <f t="shared" si="85"/>
        <v>8817.9999999999673</v>
      </c>
      <c r="H382" s="77">
        <v>0</v>
      </c>
      <c r="I382" s="77">
        <v>2240</v>
      </c>
      <c r="J382" s="80">
        <f t="shared" si="87"/>
        <v>2240</v>
      </c>
      <c r="K382" s="81">
        <f t="shared" si="86"/>
        <v>-6577.9999999999673</v>
      </c>
      <c r="L382" s="43"/>
      <c r="N382" s="153">
        <v>87137</v>
      </c>
      <c r="O382" s="153">
        <v>60412</v>
      </c>
      <c r="P382" s="153">
        <v>3029</v>
      </c>
      <c r="Q382" s="153"/>
      <c r="R382" s="153">
        <v>20093</v>
      </c>
      <c r="S382" s="154">
        <v>2744.9</v>
      </c>
      <c r="T382" s="154"/>
      <c r="U382" s="154"/>
      <c r="V382" s="153">
        <v>134657</v>
      </c>
      <c r="W382" s="153">
        <v>101317</v>
      </c>
      <c r="X382" s="153">
        <v>68361</v>
      </c>
      <c r="Y382" s="153">
        <v>92778</v>
      </c>
      <c r="Z382" s="153">
        <v>118992</v>
      </c>
    </row>
    <row r="383" spans="1:26" ht="18" hidden="1" customHeight="1" x14ac:dyDescent="0.2">
      <c r="A383" s="46">
        <v>43234</v>
      </c>
      <c r="B383" s="47" t="s">
        <v>96</v>
      </c>
      <c r="C383" s="48">
        <f t="shared" si="83"/>
        <v>2783</v>
      </c>
      <c r="D383" s="99">
        <f t="shared" si="80"/>
        <v>312</v>
      </c>
      <c r="E383" s="45">
        <f t="shared" si="81"/>
        <v>938.00000000004366</v>
      </c>
      <c r="F383" s="45">
        <f t="shared" si="84"/>
        <v>91</v>
      </c>
      <c r="G383" s="79">
        <f t="shared" si="85"/>
        <v>4124.0000000000437</v>
      </c>
      <c r="H383" s="77">
        <v>4341</v>
      </c>
      <c r="I383" s="77">
        <v>786</v>
      </c>
      <c r="J383" s="80">
        <f t="shared" si="87"/>
        <v>5127</v>
      </c>
      <c r="K383" s="81">
        <f t="shared" si="86"/>
        <v>1002.9999999999563</v>
      </c>
      <c r="L383" s="43"/>
      <c r="N383" s="112">
        <v>87387</v>
      </c>
      <c r="O383" s="112">
        <v>60470</v>
      </c>
      <c r="P383" s="112">
        <v>3045</v>
      </c>
      <c r="Q383" s="112"/>
      <c r="R383" s="112">
        <v>20174</v>
      </c>
      <c r="S383" s="113">
        <v>2768.7</v>
      </c>
      <c r="T383" s="113"/>
      <c r="U383" s="113"/>
      <c r="V383" s="112">
        <v>135305</v>
      </c>
      <c r="W383" s="112">
        <v>101380</v>
      </c>
      <c r="X383" s="112">
        <v>68433</v>
      </c>
      <c r="Y383" s="112">
        <v>92778</v>
      </c>
      <c r="Z383" s="112">
        <v>119217</v>
      </c>
    </row>
    <row r="384" spans="1:26" ht="18" hidden="1" customHeight="1" x14ac:dyDescent="0.2">
      <c r="A384" s="46">
        <v>43235</v>
      </c>
      <c r="B384" s="47" t="s">
        <v>97</v>
      </c>
      <c r="C384" s="48">
        <f t="shared" si="83"/>
        <v>2854</v>
      </c>
      <c r="D384" s="99">
        <f t="shared" si="80"/>
        <v>984</v>
      </c>
      <c r="E384" s="45">
        <f t="shared" si="81"/>
        <v>865</v>
      </c>
      <c r="F384" s="45">
        <f t="shared" si="84"/>
        <v>87</v>
      </c>
      <c r="G384" s="79">
        <f t="shared" si="85"/>
        <v>4790</v>
      </c>
      <c r="H384" s="77">
        <v>4368</v>
      </c>
      <c r="I384" s="77">
        <v>757</v>
      </c>
      <c r="J384" s="80">
        <f t="shared" si="87"/>
        <v>5125</v>
      </c>
      <c r="K384" s="81">
        <f t="shared" si="86"/>
        <v>335</v>
      </c>
      <c r="L384" s="43"/>
      <c r="N384" s="112">
        <v>87417</v>
      </c>
      <c r="O384" s="112">
        <v>60518</v>
      </c>
      <c r="P384" s="112">
        <v>3054</v>
      </c>
      <c r="Q384" s="112"/>
      <c r="R384" s="112">
        <v>20200</v>
      </c>
      <c r="S384" s="113">
        <v>2776.3</v>
      </c>
      <c r="T384" s="113"/>
      <c r="U384" s="113"/>
      <c r="V384" s="112">
        <v>135576</v>
      </c>
      <c r="W384" s="112">
        <v>101430</v>
      </c>
      <c r="X384" s="112">
        <v>68509</v>
      </c>
      <c r="Y384" s="112">
        <v>92778</v>
      </c>
      <c r="Z384" s="112">
        <v>119308</v>
      </c>
    </row>
    <row r="385" spans="1:26" ht="18" hidden="1" customHeight="1" x14ac:dyDescent="0.2">
      <c r="A385" s="46">
        <v>43236</v>
      </c>
      <c r="B385" s="47" t="s">
        <v>98</v>
      </c>
      <c r="C385" s="48">
        <f t="shared" si="83"/>
        <v>2863</v>
      </c>
      <c r="D385" s="99">
        <f t="shared" si="80"/>
        <v>1304</v>
      </c>
      <c r="E385" s="45">
        <f t="shared" si="81"/>
        <v>877.99999999998909</v>
      </c>
      <c r="F385" s="45">
        <f t="shared" si="84"/>
        <v>95</v>
      </c>
      <c r="G385" s="79">
        <f t="shared" si="85"/>
        <v>5139.9999999999891</v>
      </c>
      <c r="H385" s="77">
        <v>4336</v>
      </c>
      <c r="I385" s="77">
        <v>761</v>
      </c>
      <c r="J385" s="80">
        <f t="shared" si="87"/>
        <v>5097</v>
      </c>
      <c r="K385" s="81">
        <f t="shared" si="86"/>
        <v>-42.999999999989086</v>
      </c>
      <c r="L385" s="43"/>
      <c r="N385" s="112">
        <v>87527</v>
      </c>
      <c r="O385" s="112">
        <v>60567</v>
      </c>
      <c r="P385" s="112">
        <v>3067</v>
      </c>
      <c r="Q385" s="112"/>
      <c r="R385" s="112">
        <v>20225</v>
      </c>
      <c r="S385" s="113">
        <v>2783.3</v>
      </c>
      <c r="T385" s="113"/>
      <c r="U385" s="113"/>
      <c r="V385" s="112">
        <v>135866</v>
      </c>
      <c r="W385" s="112">
        <v>101482</v>
      </c>
      <c r="X385" s="112">
        <f>68509+75</f>
        <v>68584</v>
      </c>
      <c r="Y385" s="112">
        <v>92778</v>
      </c>
      <c r="Z385" s="112">
        <v>119395</v>
      </c>
    </row>
    <row r="386" spans="1:26" ht="18" hidden="1" customHeight="1" x14ac:dyDescent="0.2">
      <c r="A386" s="46">
        <v>43237</v>
      </c>
      <c r="B386" s="47" t="s">
        <v>99</v>
      </c>
      <c r="C386" s="48">
        <f t="shared" si="83"/>
        <v>2823</v>
      </c>
      <c r="D386" s="99">
        <f t="shared" si="80"/>
        <v>1112</v>
      </c>
      <c r="E386" s="45">
        <f t="shared" si="81"/>
        <v>793.00000000001091</v>
      </c>
      <c r="F386" s="45">
        <f t="shared" si="84"/>
        <v>105</v>
      </c>
      <c r="G386" s="79">
        <f t="shared" si="85"/>
        <v>4833.0000000000109</v>
      </c>
      <c r="H386" s="77">
        <v>4181</v>
      </c>
      <c r="I386" s="77">
        <v>776</v>
      </c>
      <c r="J386" s="80">
        <f t="shared" si="87"/>
        <v>4957</v>
      </c>
      <c r="K386" s="81">
        <f t="shared" si="86"/>
        <v>123.99999999998909</v>
      </c>
      <c r="L386" s="43"/>
      <c r="N386" s="112">
        <v>87677</v>
      </c>
      <c r="O386" s="112">
        <v>60616</v>
      </c>
      <c r="P386" s="112">
        <v>3080</v>
      </c>
      <c r="Q386" s="112"/>
      <c r="R386" s="112">
        <v>20251</v>
      </c>
      <c r="S386" s="113">
        <v>2790.4</v>
      </c>
      <c r="T386" s="113"/>
      <c r="U386" s="113"/>
      <c r="V386" s="112">
        <v>136173</v>
      </c>
      <c r="W386" s="112">
        <v>101536</v>
      </c>
      <c r="X386" s="112">
        <v>68653</v>
      </c>
      <c r="Y386" s="112">
        <v>92778</v>
      </c>
      <c r="Z386" s="112">
        <v>119490</v>
      </c>
    </row>
    <row r="387" spans="1:26" ht="18" hidden="1" customHeight="1" x14ac:dyDescent="0.2">
      <c r="A387" s="46">
        <v>43238</v>
      </c>
      <c r="B387" s="47" t="s">
        <v>100</v>
      </c>
      <c r="C387" s="48">
        <f t="shared" si="83"/>
        <v>0</v>
      </c>
      <c r="D387" s="99">
        <f t="shared" si="80"/>
        <v>0</v>
      </c>
      <c r="E387" s="45">
        <f t="shared" si="81"/>
        <v>0</v>
      </c>
      <c r="F387" s="45">
        <f t="shared" si="84"/>
        <v>0</v>
      </c>
      <c r="G387" s="79">
        <f t="shared" si="85"/>
        <v>0</v>
      </c>
      <c r="H387" s="77">
        <v>4204</v>
      </c>
      <c r="I387" s="77">
        <v>751</v>
      </c>
      <c r="J387" s="80">
        <f t="shared" si="87"/>
        <v>4955</v>
      </c>
      <c r="K387" s="81">
        <f t="shared" si="86"/>
        <v>4955</v>
      </c>
      <c r="L387" s="43"/>
      <c r="N387" s="112">
        <v>87807</v>
      </c>
      <c r="O387" s="112">
        <v>60664</v>
      </c>
      <c r="P387" s="112">
        <v>3089</v>
      </c>
      <c r="Q387" s="112"/>
      <c r="R387" s="112">
        <v>20276</v>
      </c>
      <c r="S387" s="113">
        <v>2796.8</v>
      </c>
      <c r="T387" s="113"/>
      <c r="U387" s="113"/>
      <c r="V387" s="112">
        <v>136476</v>
      </c>
      <c r="W387" s="112">
        <v>101587</v>
      </c>
      <c r="X387" s="112">
        <v>68727</v>
      </c>
      <c r="Y387" s="112">
        <v>92778</v>
      </c>
      <c r="Z387" s="112">
        <v>119595</v>
      </c>
    </row>
    <row r="388" spans="1:26" ht="18" hidden="1" customHeight="1" x14ac:dyDescent="0.2">
      <c r="A388" s="46">
        <v>43239</v>
      </c>
      <c r="B388" s="56" t="s">
        <v>103</v>
      </c>
      <c r="C388" s="48">
        <f t="shared" si="83"/>
        <v>0</v>
      </c>
      <c r="D388" s="99">
        <f t="shared" si="80"/>
        <v>0</v>
      </c>
      <c r="E388" s="45">
        <f t="shared" si="81"/>
        <v>0</v>
      </c>
      <c r="F388" s="45">
        <f t="shared" si="84"/>
        <v>0</v>
      </c>
      <c r="G388" s="79">
        <f t="shared" si="85"/>
        <v>0</v>
      </c>
      <c r="H388" s="77">
        <v>3385</v>
      </c>
      <c r="I388" s="77">
        <v>415</v>
      </c>
      <c r="J388" s="80">
        <f t="shared" si="87"/>
        <v>3800</v>
      </c>
      <c r="K388" s="81">
        <f t="shared" si="86"/>
        <v>3800</v>
      </c>
      <c r="L388" s="43"/>
      <c r="N388" s="153">
        <v>87807</v>
      </c>
      <c r="O388" s="153">
        <v>60664</v>
      </c>
      <c r="P388" s="153">
        <v>3089</v>
      </c>
      <c r="Q388" s="153"/>
      <c r="R388" s="153">
        <v>20276</v>
      </c>
      <c r="S388" s="154">
        <v>2796.8</v>
      </c>
      <c r="T388" s="154"/>
      <c r="U388" s="154"/>
      <c r="V388" s="153">
        <v>136476</v>
      </c>
      <c r="W388" s="153">
        <v>101587</v>
      </c>
      <c r="X388" s="153">
        <v>68727</v>
      </c>
      <c r="Y388" s="153">
        <v>92778</v>
      </c>
      <c r="Z388" s="153">
        <v>119595</v>
      </c>
    </row>
    <row r="389" spans="1:26" ht="18" hidden="1" customHeight="1" x14ac:dyDescent="0.2">
      <c r="A389" s="46">
        <v>43240</v>
      </c>
      <c r="B389" s="56" t="s">
        <v>104</v>
      </c>
      <c r="C389" s="48">
        <f t="shared" si="83"/>
        <v>5999</v>
      </c>
      <c r="D389" s="99">
        <f t="shared" si="80"/>
        <v>1168</v>
      </c>
      <c r="E389" s="45">
        <f t="shared" si="81"/>
        <v>2937.9999999999673</v>
      </c>
      <c r="F389" s="45">
        <f t="shared" si="84"/>
        <v>309</v>
      </c>
      <c r="G389" s="79">
        <f t="shared" si="85"/>
        <v>10413.999999999967</v>
      </c>
      <c r="H389" s="77">
        <v>0</v>
      </c>
      <c r="I389" s="77">
        <v>2121</v>
      </c>
      <c r="J389" s="80">
        <f t="shared" si="87"/>
        <v>2121</v>
      </c>
      <c r="K389" s="81">
        <f t="shared" si="86"/>
        <v>-8292.9999999999673</v>
      </c>
      <c r="L389" s="43"/>
      <c r="N389" s="153">
        <v>87807</v>
      </c>
      <c r="O389" s="153">
        <v>60664</v>
      </c>
      <c r="P389" s="153">
        <v>3089</v>
      </c>
      <c r="Q389" s="153"/>
      <c r="R389" s="153">
        <v>20276</v>
      </c>
      <c r="S389" s="154">
        <v>2796.8</v>
      </c>
      <c r="T389" s="154"/>
      <c r="U389" s="154"/>
      <c r="V389" s="153">
        <v>136476</v>
      </c>
      <c r="W389" s="153">
        <v>101587</v>
      </c>
      <c r="X389" s="153">
        <v>68727</v>
      </c>
      <c r="Y389" s="153">
        <v>92778</v>
      </c>
      <c r="Z389" s="153">
        <v>119595</v>
      </c>
    </row>
    <row r="390" spans="1:26" ht="18" hidden="1" customHeight="1" x14ac:dyDescent="0.2">
      <c r="A390" s="46">
        <v>43241</v>
      </c>
      <c r="B390" s="47" t="s">
        <v>96</v>
      </c>
      <c r="C390" s="48">
        <f t="shared" si="83"/>
        <v>2676</v>
      </c>
      <c r="D390" s="99">
        <f t="shared" si="80"/>
        <v>1272</v>
      </c>
      <c r="E390" s="45">
        <f t="shared" si="81"/>
        <v>1022.0000000000218</v>
      </c>
      <c r="F390" s="45">
        <f t="shared" si="84"/>
        <v>94</v>
      </c>
      <c r="G390" s="79">
        <f t="shared" si="85"/>
        <v>5064.0000000000218</v>
      </c>
      <c r="H390" s="77">
        <v>4414</v>
      </c>
      <c r="I390" s="77">
        <v>782</v>
      </c>
      <c r="J390" s="80">
        <f t="shared" si="87"/>
        <v>5196</v>
      </c>
      <c r="K390" s="81">
        <f t="shared" si="86"/>
        <v>131.99999999997817</v>
      </c>
      <c r="L390" s="43"/>
      <c r="N390" s="112">
        <v>87937</v>
      </c>
      <c r="O390" s="112">
        <v>60717</v>
      </c>
      <c r="P390" s="112">
        <v>3105</v>
      </c>
      <c r="Q390" s="112"/>
      <c r="R390" s="112">
        <v>20358</v>
      </c>
      <c r="S390" s="113">
        <v>2820.6</v>
      </c>
      <c r="T390" s="113"/>
      <c r="U390" s="113"/>
      <c r="V390" s="112">
        <v>137311</v>
      </c>
      <c r="W390" s="112">
        <v>101697</v>
      </c>
      <c r="X390" s="112">
        <v>68864</v>
      </c>
      <c r="Y390" s="112">
        <v>92778</v>
      </c>
      <c r="Z390" s="112">
        <v>119904</v>
      </c>
    </row>
    <row r="391" spans="1:26" ht="18" hidden="1" customHeight="1" x14ac:dyDescent="0.2">
      <c r="A391" s="46">
        <v>43242</v>
      </c>
      <c r="B391" s="47" t="s">
        <v>97</v>
      </c>
      <c r="C391" s="48">
        <f t="shared" si="83"/>
        <v>2907</v>
      </c>
      <c r="D391" s="99">
        <f t="shared" si="80"/>
        <v>1272</v>
      </c>
      <c r="E391" s="45">
        <f t="shared" si="81"/>
        <v>902.99999999996726</v>
      </c>
      <c r="F391" s="45">
        <f t="shared" si="84"/>
        <v>112</v>
      </c>
      <c r="G391" s="79">
        <f t="shared" si="85"/>
        <v>5193.9999999999673</v>
      </c>
      <c r="H391" s="77">
        <v>4547</v>
      </c>
      <c r="I391" s="77">
        <v>785</v>
      </c>
      <c r="J391" s="80">
        <f t="shared" si="87"/>
        <v>5332</v>
      </c>
      <c r="K391" s="81">
        <f t="shared" si="86"/>
        <v>138.00000000003274</v>
      </c>
      <c r="L391" s="43"/>
      <c r="N391" s="112">
        <v>88077</v>
      </c>
      <c r="O391" s="112">
        <v>60767</v>
      </c>
      <c r="P391" s="112">
        <v>3124</v>
      </c>
      <c r="Q391" s="112"/>
      <c r="R391" s="112">
        <v>20384</v>
      </c>
      <c r="S391" s="113">
        <v>2828.9</v>
      </c>
      <c r="T391" s="113"/>
      <c r="U391" s="113"/>
      <c r="V391" s="112">
        <v>137599</v>
      </c>
      <c r="W391" s="112">
        <v>101745</v>
      </c>
      <c r="X391" s="112">
        <v>68935</v>
      </c>
      <c r="Y391" s="112">
        <v>92778</v>
      </c>
      <c r="Z391" s="112">
        <v>119998</v>
      </c>
    </row>
    <row r="392" spans="1:26" ht="18" hidden="1" customHeight="1" x14ac:dyDescent="0.2">
      <c r="A392" s="46">
        <v>43243</v>
      </c>
      <c r="B392" s="47" t="s">
        <v>98</v>
      </c>
      <c r="C392" s="48">
        <f t="shared" si="83"/>
        <v>2598</v>
      </c>
      <c r="D392" s="99">
        <f t="shared" si="80"/>
        <v>1520</v>
      </c>
      <c r="E392" s="45">
        <f t="shared" si="81"/>
        <v>992</v>
      </c>
      <c r="F392" s="45">
        <f t="shared" si="84"/>
        <v>99</v>
      </c>
      <c r="G392" s="79">
        <f t="shared" si="85"/>
        <v>5209</v>
      </c>
      <c r="H392" s="77">
        <v>4423</v>
      </c>
      <c r="I392" s="77">
        <v>786</v>
      </c>
      <c r="J392" s="80">
        <f t="shared" si="87"/>
        <v>5209</v>
      </c>
      <c r="K392" s="81">
        <f t="shared" si="86"/>
        <v>0</v>
      </c>
      <c r="L392" s="43"/>
      <c r="N392" s="112">
        <v>88227</v>
      </c>
      <c r="O392" s="112">
        <v>60814</v>
      </c>
      <c r="P392" s="112">
        <v>3133</v>
      </c>
      <c r="Q392" s="112"/>
      <c r="R392" s="112">
        <v>20411</v>
      </c>
      <c r="S392" s="113">
        <v>2836.2</v>
      </c>
      <c r="T392" s="113"/>
      <c r="U392" s="113"/>
      <c r="V392" s="112">
        <v>137886</v>
      </c>
      <c r="W392" s="112">
        <v>101798</v>
      </c>
      <c r="X392" s="112">
        <v>69012</v>
      </c>
      <c r="Y392" s="112">
        <v>92778</v>
      </c>
      <c r="Z392" s="112">
        <v>120110</v>
      </c>
    </row>
    <row r="393" spans="1:26" ht="18" hidden="1" customHeight="1" x14ac:dyDescent="0.2">
      <c r="A393" s="46">
        <v>43244</v>
      </c>
      <c r="B393" s="47" t="s">
        <v>99</v>
      </c>
      <c r="C393" s="48">
        <f t="shared" si="83"/>
        <v>2763</v>
      </c>
      <c r="D393" s="99">
        <f t="shared" si="80"/>
        <v>1624</v>
      </c>
      <c r="E393" s="45">
        <f t="shared" si="81"/>
        <v>903.00000000002183</v>
      </c>
      <c r="F393" s="45">
        <f t="shared" si="84"/>
        <v>100</v>
      </c>
      <c r="G393" s="79">
        <f t="shared" si="85"/>
        <v>5390.0000000000218</v>
      </c>
      <c r="H393" s="77">
        <v>4599</v>
      </c>
      <c r="I393" s="77">
        <v>937</v>
      </c>
      <c r="J393" s="80">
        <f t="shared" si="87"/>
        <v>5536</v>
      </c>
      <c r="K393" s="81">
        <f t="shared" si="86"/>
        <v>145.99999999997817</v>
      </c>
      <c r="L393" s="43"/>
      <c r="N393" s="112">
        <v>88407</v>
      </c>
      <c r="O393" s="112">
        <v>60885</v>
      </c>
      <c r="P393" s="112">
        <v>3143</v>
      </c>
      <c r="Q393" s="112"/>
      <c r="R393" s="112">
        <v>20443</v>
      </c>
      <c r="S393" s="113">
        <v>2844.2</v>
      </c>
      <c r="T393" s="113"/>
      <c r="U393" s="113"/>
      <c r="V393" s="112">
        <v>138140</v>
      </c>
      <c r="W393" s="112">
        <v>101845</v>
      </c>
      <c r="X393" s="112">
        <v>69082</v>
      </c>
      <c r="Y393" s="112">
        <v>92778</v>
      </c>
      <c r="Z393" s="112">
        <v>120209</v>
      </c>
    </row>
    <row r="394" spans="1:26" ht="18" hidden="1" customHeight="1" x14ac:dyDescent="0.2">
      <c r="A394" s="46">
        <v>43245</v>
      </c>
      <c r="B394" s="47" t="s">
        <v>100</v>
      </c>
      <c r="C394" s="48">
        <f t="shared" si="83"/>
        <v>2762</v>
      </c>
      <c r="D394" s="99">
        <f t="shared" si="80"/>
        <v>1528</v>
      </c>
      <c r="E394" s="45">
        <f t="shared" si="81"/>
        <v>878.99999999998909</v>
      </c>
      <c r="F394" s="45">
        <f t="shared" si="84"/>
        <v>94</v>
      </c>
      <c r="G394" s="79">
        <f t="shared" si="85"/>
        <v>5262.9999999999891</v>
      </c>
      <c r="H394" s="77">
        <v>4469</v>
      </c>
      <c r="I394" s="77">
        <v>931</v>
      </c>
      <c r="J394" s="80">
        <f t="shared" si="87"/>
        <v>5400</v>
      </c>
      <c r="K394" s="81">
        <f t="shared" si="86"/>
        <v>137.00000000001091</v>
      </c>
      <c r="L394" s="43"/>
      <c r="N394" s="112">
        <v>88597</v>
      </c>
      <c r="O394" s="112">
        <v>60955</v>
      </c>
      <c r="P394" s="112">
        <v>3156</v>
      </c>
      <c r="Q394" s="112"/>
      <c r="R394" s="112">
        <v>20470</v>
      </c>
      <c r="S394" s="113">
        <v>2851.5</v>
      </c>
      <c r="T394" s="113"/>
      <c r="U394" s="113"/>
      <c r="V394" s="112">
        <v>138415</v>
      </c>
      <c r="W394" s="112">
        <v>101895</v>
      </c>
      <c r="X394" s="112">
        <v>69156</v>
      </c>
      <c r="Y394" s="112">
        <v>92778</v>
      </c>
      <c r="Z394" s="112">
        <v>120309</v>
      </c>
    </row>
    <row r="395" spans="1:26" ht="18" hidden="1" customHeight="1" x14ac:dyDescent="0.2">
      <c r="A395" s="46">
        <v>43246</v>
      </c>
      <c r="B395" s="47" t="s">
        <v>101</v>
      </c>
      <c r="C395" s="48">
        <f t="shared" si="83"/>
        <v>0</v>
      </c>
      <c r="D395" s="99">
        <f t="shared" si="80"/>
        <v>0</v>
      </c>
      <c r="E395" s="45">
        <f t="shared" si="81"/>
        <v>0</v>
      </c>
      <c r="F395" s="45">
        <f t="shared" si="84"/>
        <v>0</v>
      </c>
      <c r="G395" s="79">
        <f t="shared" si="85"/>
        <v>0</v>
      </c>
      <c r="H395" s="77">
        <v>0</v>
      </c>
      <c r="I395" s="77">
        <v>5404</v>
      </c>
      <c r="J395" s="80">
        <f t="shared" si="87"/>
        <v>5404</v>
      </c>
      <c r="K395" s="81">
        <f t="shared" si="86"/>
        <v>5404</v>
      </c>
      <c r="L395" s="43"/>
      <c r="N395" s="112">
        <v>88777</v>
      </c>
      <c r="O395" s="112">
        <v>61024</v>
      </c>
      <c r="P395" s="112">
        <v>3167</v>
      </c>
      <c r="Q395" s="112"/>
      <c r="R395" s="112">
        <v>20497</v>
      </c>
      <c r="S395" s="113">
        <v>2858.6</v>
      </c>
      <c r="T395" s="113"/>
      <c r="U395" s="113"/>
      <c r="V395" s="112">
        <v>138701</v>
      </c>
      <c r="W395" s="112">
        <v>101948</v>
      </c>
      <c r="X395" s="112">
        <v>69221</v>
      </c>
      <c r="Y395" s="112">
        <v>92778</v>
      </c>
      <c r="Z395" s="112">
        <v>120403</v>
      </c>
    </row>
    <row r="396" spans="1:26" ht="18" hidden="1" customHeight="1" x14ac:dyDescent="0.2">
      <c r="A396" s="46">
        <v>43247</v>
      </c>
      <c r="B396" s="47" t="s">
        <v>95</v>
      </c>
      <c r="C396" s="48">
        <f t="shared" si="83"/>
        <v>3152</v>
      </c>
      <c r="D396" s="99">
        <f t="shared" si="80"/>
        <v>2672</v>
      </c>
      <c r="E396" s="45">
        <f t="shared" si="81"/>
        <v>2173.9999999999891</v>
      </c>
      <c r="F396" s="45">
        <f t="shared" si="84"/>
        <v>207</v>
      </c>
      <c r="G396" s="79">
        <f t="shared" si="85"/>
        <v>8204.9999999999891</v>
      </c>
      <c r="H396" s="77">
        <v>0</v>
      </c>
      <c r="I396" s="77">
        <v>3200</v>
      </c>
      <c r="J396" s="80">
        <f t="shared" si="87"/>
        <v>3200</v>
      </c>
      <c r="K396" s="81">
        <f t="shared" si="86"/>
        <v>-5004.9999999999891</v>
      </c>
      <c r="L396" s="43"/>
      <c r="N396" s="153">
        <v>88777</v>
      </c>
      <c r="O396" s="153">
        <v>61024</v>
      </c>
      <c r="P396" s="153">
        <v>3167</v>
      </c>
      <c r="Q396" s="153"/>
      <c r="R396" s="153">
        <v>20497</v>
      </c>
      <c r="S396" s="154">
        <v>2858.6</v>
      </c>
      <c r="T396" s="154"/>
      <c r="U396" s="154"/>
      <c r="V396" s="153">
        <v>138701</v>
      </c>
      <c r="W396" s="153">
        <v>101948</v>
      </c>
      <c r="X396" s="153">
        <v>69221</v>
      </c>
      <c r="Y396" s="153">
        <v>92778</v>
      </c>
      <c r="Z396" s="153">
        <v>120403</v>
      </c>
    </row>
    <row r="397" spans="1:26" ht="18" hidden="1" customHeight="1" x14ac:dyDescent="0.2">
      <c r="A397" s="46">
        <v>43248</v>
      </c>
      <c r="B397" s="47" t="s">
        <v>96</v>
      </c>
      <c r="C397" s="48">
        <f t="shared" si="83"/>
        <v>2817</v>
      </c>
      <c r="D397" s="99">
        <f t="shared" si="80"/>
        <v>1224</v>
      </c>
      <c r="E397" s="45">
        <f t="shared" si="81"/>
        <v>1108</v>
      </c>
      <c r="F397" s="45">
        <f t="shared" si="84"/>
        <v>122</v>
      </c>
      <c r="G397" s="79">
        <f t="shared" si="85"/>
        <v>5271</v>
      </c>
      <c r="H397" s="77">
        <v>4620</v>
      </c>
      <c r="I397" s="77">
        <v>843</v>
      </c>
      <c r="J397" s="80">
        <f t="shared" si="87"/>
        <v>5463</v>
      </c>
      <c r="K397" s="81">
        <f t="shared" si="86"/>
        <v>192</v>
      </c>
      <c r="L397" s="43"/>
      <c r="N397" s="112">
        <v>89097</v>
      </c>
      <c r="O397" s="112">
        <v>61143</v>
      </c>
      <c r="P397" s="112">
        <v>3181</v>
      </c>
      <c r="Q397" s="112"/>
      <c r="R397" s="112">
        <v>20559</v>
      </c>
      <c r="S397" s="113">
        <v>2876.2</v>
      </c>
      <c r="T397" s="113"/>
      <c r="U397" s="113"/>
      <c r="V397" s="112">
        <v>139193</v>
      </c>
      <c r="W397" s="112">
        <v>102009</v>
      </c>
      <c r="X397" s="112">
        <v>69280</v>
      </c>
      <c r="Y397" s="112">
        <v>92778</v>
      </c>
      <c r="Z397" s="112">
        <v>120610</v>
      </c>
    </row>
    <row r="398" spans="1:26" ht="18" hidden="1" customHeight="1" x14ac:dyDescent="0.2">
      <c r="A398" s="46">
        <v>43249</v>
      </c>
      <c r="B398" s="47" t="s">
        <v>97</v>
      </c>
      <c r="C398" s="48">
        <f t="shared" si="83"/>
        <v>2186</v>
      </c>
      <c r="D398" s="99">
        <f t="shared" si="80"/>
        <v>1304</v>
      </c>
      <c r="E398" s="45">
        <f t="shared" si="81"/>
        <v>987</v>
      </c>
      <c r="F398" s="45">
        <f t="shared" si="84"/>
        <v>106</v>
      </c>
      <c r="G398" s="79">
        <f t="shared" si="85"/>
        <v>4583</v>
      </c>
      <c r="H398" s="77">
        <v>4025</v>
      </c>
      <c r="I398" s="77">
        <v>849</v>
      </c>
      <c r="J398" s="80">
        <f t="shared" si="87"/>
        <v>4874</v>
      </c>
      <c r="K398" s="81">
        <f t="shared" si="86"/>
        <v>291</v>
      </c>
      <c r="L398" s="43"/>
      <c r="N398" s="112">
        <v>89237</v>
      </c>
      <c r="O398" s="112">
        <v>61195</v>
      </c>
      <c r="P398" s="112">
        <v>3194</v>
      </c>
      <c r="Q398" s="112"/>
      <c r="R398" s="112">
        <v>20587</v>
      </c>
      <c r="S398" s="113">
        <v>2885.2</v>
      </c>
      <c r="T398" s="113"/>
      <c r="U398" s="113"/>
      <c r="V398" s="112">
        <v>139510</v>
      </c>
      <c r="W398" s="112">
        <v>102062</v>
      </c>
      <c r="X398" s="112">
        <v>69347</v>
      </c>
      <c r="Y398" s="112">
        <v>92778</v>
      </c>
      <c r="Z398" s="112">
        <v>120732</v>
      </c>
    </row>
    <row r="399" spans="1:26" ht="18" hidden="1" customHeight="1" x14ac:dyDescent="0.2">
      <c r="A399" s="46">
        <v>43250</v>
      </c>
      <c r="B399" s="47" t="s">
        <v>98</v>
      </c>
      <c r="C399" s="48">
        <f t="shared" si="83"/>
        <v>823</v>
      </c>
      <c r="D399" s="99">
        <f t="shared" si="80"/>
        <v>1448</v>
      </c>
      <c r="E399" s="45">
        <f t="shared" si="81"/>
        <v>964.00000000002183</v>
      </c>
      <c r="F399" s="45">
        <f t="shared" si="84"/>
        <v>106</v>
      </c>
      <c r="G399" s="79">
        <f t="shared" si="85"/>
        <v>3341.0000000000218</v>
      </c>
      <c r="H399" s="77">
        <v>2306</v>
      </c>
      <c r="I399" s="77">
        <v>856</v>
      </c>
      <c r="J399" s="80">
        <f t="shared" si="87"/>
        <v>3162</v>
      </c>
      <c r="K399" s="81">
        <f t="shared" si="86"/>
        <v>-179.00000000002183</v>
      </c>
      <c r="L399" s="43"/>
      <c r="N399" s="112">
        <v>89387</v>
      </c>
      <c r="O399" s="112">
        <v>61245</v>
      </c>
      <c r="P399" s="112">
        <v>3207</v>
      </c>
      <c r="Q399" s="112"/>
      <c r="R399" s="112">
        <v>20614</v>
      </c>
      <c r="S399" s="113">
        <v>2893.2</v>
      </c>
      <c r="T399" s="113"/>
      <c r="U399" s="113"/>
      <c r="V399" s="112">
        <v>139828</v>
      </c>
      <c r="W399" s="112">
        <v>102108</v>
      </c>
      <c r="X399" s="112">
        <v>69380</v>
      </c>
      <c r="Y399" s="112">
        <v>92778</v>
      </c>
      <c r="Z399" s="112">
        <v>120838</v>
      </c>
    </row>
    <row r="400" spans="1:26" ht="18" hidden="1" customHeight="1" x14ac:dyDescent="0.2">
      <c r="A400" s="46">
        <v>43251</v>
      </c>
      <c r="B400" s="47" t="s">
        <v>99</v>
      </c>
      <c r="C400" s="48">
        <f t="shared" si="83"/>
        <v>2741</v>
      </c>
      <c r="D400" s="99">
        <f t="shared" si="80"/>
        <v>1136</v>
      </c>
      <c r="E400" s="45">
        <f t="shared" si="81"/>
        <v>769.99999999997817</v>
      </c>
      <c r="F400" s="45">
        <f t="shared" si="84"/>
        <v>110</v>
      </c>
      <c r="G400" s="79">
        <f t="shared" si="85"/>
        <v>4756.9999999999782</v>
      </c>
      <c r="H400" s="77">
        <v>4167</v>
      </c>
      <c r="I400" s="77">
        <v>891</v>
      </c>
      <c r="J400" s="80">
        <f t="shared" si="87"/>
        <v>5058</v>
      </c>
      <c r="K400" s="81">
        <f t="shared" si="86"/>
        <v>301.00000000002183</v>
      </c>
      <c r="L400" s="43"/>
      <c r="N400" s="112">
        <v>89557</v>
      </c>
      <c r="O400" s="112">
        <v>61309</v>
      </c>
      <c r="P400" s="112">
        <v>3218</v>
      </c>
      <c r="Q400" s="112"/>
      <c r="R400" s="112">
        <v>20642</v>
      </c>
      <c r="S400" s="113">
        <v>2901</v>
      </c>
      <c r="T400" s="113"/>
      <c r="U400" s="113"/>
      <c r="V400" s="112">
        <v>140135</v>
      </c>
      <c r="W400" s="112">
        <v>102120</v>
      </c>
      <c r="X400" s="112">
        <v>69391</v>
      </c>
      <c r="Y400" s="112">
        <v>92778</v>
      </c>
      <c r="Z400" s="112">
        <v>120944</v>
      </c>
    </row>
    <row r="401" spans="1:26" ht="18" hidden="1" customHeight="1" x14ac:dyDescent="0.2">
      <c r="A401" s="46">
        <v>43252</v>
      </c>
      <c r="B401" s="47" t="s">
        <v>100</v>
      </c>
      <c r="C401" s="48">
        <f t="shared" si="83"/>
        <v>0</v>
      </c>
      <c r="D401" s="99">
        <f t="shared" si="80"/>
        <v>0</v>
      </c>
      <c r="E401" s="45">
        <f t="shared" si="81"/>
        <v>0</v>
      </c>
      <c r="F401" s="45">
        <f t="shared" si="84"/>
        <v>0</v>
      </c>
      <c r="G401" s="79">
        <f t="shared" si="85"/>
        <v>0</v>
      </c>
      <c r="H401" s="77">
        <v>3776</v>
      </c>
      <c r="I401" s="77">
        <v>7131</v>
      </c>
      <c r="J401" s="80">
        <f t="shared" si="87"/>
        <v>10907</v>
      </c>
      <c r="K401" s="81">
        <f t="shared" si="86"/>
        <v>10907</v>
      </c>
      <c r="L401" s="43"/>
      <c r="N401" s="112">
        <v>89687</v>
      </c>
      <c r="O401" s="112">
        <v>61365</v>
      </c>
      <c r="P401" s="112">
        <f>3218+12</f>
        <v>3230</v>
      </c>
      <c r="Q401" s="112"/>
      <c r="R401" s="112">
        <v>20668</v>
      </c>
      <c r="S401" s="113">
        <v>2907.2</v>
      </c>
      <c r="T401" s="113"/>
      <c r="U401" s="113"/>
      <c r="V401" s="112">
        <v>140420</v>
      </c>
      <c r="W401" s="112">
        <v>102169</v>
      </c>
      <c r="X401" s="112">
        <v>69465</v>
      </c>
      <c r="Y401" s="112">
        <v>92778</v>
      </c>
      <c r="Z401" s="112">
        <v>121054</v>
      </c>
    </row>
    <row r="402" spans="1:26" ht="18" hidden="1" customHeight="1" x14ac:dyDescent="0.2">
      <c r="A402" s="46">
        <v>43253</v>
      </c>
      <c r="B402" s="47" t="s">
        <v>101</v>
      </c>
      <c r="C402" s="48">
        <f t="shared" si="83"/>
        <v>0</v>
      </c>
      <c r="D402" s="99">
        <f t="shared" si="80"/>
        <v>0</v>
      </c>
      <c r="E402" s="45">
        <f t="shared" si="81"/>
        <v>0</v>
      </c>
      <c r="F402" s="45">
        <f t="shared" si="84"/>
        <v>0</v>
      </c>
      <c r="G402" s="79">
        <f t="shared" si="85"/>
        <v>0</v>
      </c>
      <c r="H402" s="77">
        <v>0</v>
      </c>
      <c r="I402" s="77">
        <v>2747</v>
      </c>
      <c r="J402" s="80">
        <f t="shared" si="87"/>
        <v>2747</v>
      </c>
      <c r="K402" s="81">
        <f t="shared" si="86"/>
        <v>2747</v>
      </c>
      <c r="L402" s="43"/>
      <c r="N402" s="153">
        <v>89687</v>
      </c>
      <c r="O402" s="153">
        <v>61365</v>
      </c>
      <c r="P402" s="153">
        <f>3218+12</f>
        <v>3230</v>
      </c>
      <c r="Q402" s="153"/>
      <c r="R402" s="153">
        <v>20668</v>
      </c>
      <c r="S402" s="154">
        <v>2907.2</v>
      </c>
      <c r="T402" s="154"/>
      <c r="U402" s="154"/>
      <c r="V402" s="153">
        <v>140420</v>
      </c>
      <c r="W402" s="153">
        <v>102169</v>
      </c>
      <c r="X402" s="153">
        <v>69465</v>
      </c>
      <c r="Y402" s="153">
        <v>92778</v>
      </c>
      <c r="Z402" s="153">
        <v>121054</v>
      </c>
    </row>
    <row r="403" spans="1:26" ht="18" hidden="1" customHeight="1" x14ac:dyDescent="0.2">
      <c r="A403" s="46">
        <v>43254</v>
      </c>
      <c r="B403" s="47" t="s">
        <v>95</v>
      </c>
      <c r="C403" s="48">
        <f t="shared" si="83"/>
        <v>4408</v>
      </c>
      <c r="D403" s="99">
        <f t="shared" si="80"/>
        <v>1224</v>
      </c>
      <c r="E403" s="45">
        <f t="shared" si="81"/>
        <v>2840</v>
      </c>
      <c r="F403" s="45">
        <f t="shared" si="84"/>
        <v>256</v>
      </c>
      <c r="G403" s="79">
        <f t="shared" si="85"/>
        <v>8728</v>
      </c>
      <c r="H403" s="77">
        <v>0</v>
      </c>
      <c r="I403" s="77">
        <v>1965</v>
      </c>
      <c r="J403" s="80">
        <f t="shared" si="87"/>
        <v>1965</v>
      </c>
      <c r="K403" s="81">
        <f t="shared" si="86"/>
        <v>-6763</v>
      </c>
      <c r="L403" s="43"/>
      <c r="N403" s="153">
        <v>89687</v>
      </c>
      <c r="O403" s="153">
        <v>61365</v>
      </c>
      <c r="P403" s="153">
        <f>3218+12</f>
        <v>3230</v>
      </c>
      <c r="Q403" s="153"/>
      <c r="R403" s="153">
        <v>20668</v>
      </c>
      <c r="S403" s="154">
        <v>2907.2</v>
      </c>
      <c r="T403" s="154"/>
      <c r="U403" s="154"/>
      <c r="V403" s="153">
        <v>140420</v>
      </c>
      <c r="W403" s="153">
        <v>102169</v>
      </c>
      <c r="X403" s="153">
        <v>69465</v>
      </c>
      <c r="Y403" s="153">
        <v>92778</v>
      </c>
      <c r="Z403" s="153">
        <v>121054</v>
      </c>
    </row>
    <row r="404" spans="1:26" ht="18" hidden="1" customHeight="1" x14ac:dyDescent="0.2">
      <c r="A404" s="46">
        <v>43255</v>
      </c>
      <c r="B404" s="47" t="s">
        <v>96</v>
      </c>
      <c r="C404" s="48">
        <f t="shared" si="83"/>
        <v>2570</v>
      </c>
      <c r="D404" s="99">
        <f t="shared" si="80"/>
        <v>1416</v>
      </c>
      <c r="E404" s="45">
        <f t="shared" si="81"/>
        <v>1059.0000000000437</v>
      </c>
      <c r="F404" s="45">
        <f t="shared" si="84"/>
        <v>85</v>
      </c>
      <c r="G404" s="79">
        <f t="shared" si="85"/>
        <v>5130.0000000000437</v>
      </c>
      <c r="H404" s="77">
        <v>4399</v>
      </c>
      <c r="I404" s="77">
        <v>801</v>
      </c>
      <c r="J404" s="80">
        <f t="shared" si="87"/>
        <v>5200</v>
      </c>
      <c r="K404" s="81">
        <f t="shared" si="86"/>
        <v>69.999999999956344</v>
      </c>
      <c r="L404" s="43"/>
      <c r="N404" s="112">
        <v>89827</v>
      </c>
      <c r="O404" s="112">
        <v>61408</v>
      </c>
      <c r="P404" s="112">
        <v>3243</v>
      </c>
      <c r="Q404" s="112"/>
      <c r="R404" s="112">
        <v>20748</v>
      </c>
      <c r="S404" s="113">
        <v>2930.2</v>
      </c>
      <c r="T404" s="113"/>
      <c r="U404" s="113"/>
      <c r="V404" s="112">
        <v>140968</v>
      </c>
      <c r="W404" s="112">
        <v>102248</v>
      </c>
      <c r="X404" s="112">
        <v>69576</v>
      </c>
      <c r="Y404" s="112">
        <v>92778</v>
      </c>
      <c r="Z404" s="112">
        <v>121310</v>
      </c>
    </row>
    <row r="405" spans="1:26" ht="18" hidden="1" customHeight="1" x14ac:dyDescent="0.2">
      <c r="A405" s="46">
        <v>43256</v>
      </c>
      <c r="B405" s="47" t="s">
        <v>97</v>
      </c>
      <c r="C405" s="48">
        <f t="shared" si="83"/>
        <v>2464</v>
      </c>
      <c r="D405" s="99">
        <f t="shared" ref="D405:D468" si="88">(N406-N405)*8+(P406-P405)*8</f>
        <v>1360</v>
      </c>
      <c r="E405" s="45">
        <f t="shared" ref="E405:E468" si="89">(R406-R405)*1+(S406-S405)*120</f>
        <v>853.99999999995634</v>
      </c>
      <c r="F405" s="45">
        <f t="shared" si="84"/>
        <v>117</v>
      </c>
      <c r="G405" s="79">
        <f t="shared" si="85"/>
        <v>4794.9999999999563</v>
      </c>
      <c r="H405" s="77">
        <v>4013</v>
      </c>
      <c r="I405" s="77">
        <v>817</v>
      </c>
      <c r="J405" s="80">
        <f t="shared" si="87"/>
        <v>4830</v>
      </c>
      <c r="K405" s="81">
        <f t="shared" si="86"/>
        <v>35.000000000043656</v>
      </c>
      <c r="L405" s="43"/>
      <c r="N405" s="112">
        <v>89987</v>
      </c>
      <c r="O405" s="112">
        <v>61465</v>
      </c>
      <c r="P405" s="112">
        <v>3260</v>
      </c>
      <c r="Q405" s="112"/>
      <c r="R405" s="112">
        <v>20775</v>
      </c>
      <c r="S405" s="113">
        <v>2938.8</v>
      </c>
      <c r="T405" s="113"/>
      <c r="U405" s="113"/>
      <c r="V405" s="112">
        <v>141230</v>
      </c>
      <c r="W405" s="112">
        <v>102295</v>
      </c>
      <c r="X405" s="112">
        <v>69643</v>
      </c>
      <c r="Y405" s="112">
        <v>92778</v>
      </c>
      <c r="Z405" s="112">
        <v>121395</v>
      </c>
    </row>
    <row r="406" spans="1:26" ht="18" hidden="1" customHeight="1" x14ac:dyDescent="0.2">
      <c r="A406" s="46">
        <v>43257</v>
      </c>
      <c r="B406" s="47" t="s">
        <v>98</v>
      </c>
      <c r="C406" s="48">
        <f t="shared" si="83"/>
        <v>2408</v>
      </c>
      <c r="D406" s="99">
        <f t="shared" si="88"/>
        <v>1920</v>
      </c>
      <c r="E406" s="45">
        <f t="shared" si="89"/>
        <v>1015.0000000000327</v>
      </c>
      <c r="F406" s="45">
        <f t="shared" si="84"/>
        <v>91</v>
      </c>
      <c r="G406" s="79">
        <f t="shared" si="85"/>
        <v>5434.0000000000327</v>
      </c>
      <c r="H406" s="77">
        <v>4089</v>
      </c>
      <c r="I406" s="77">
        <v>806</v>
      </c>
      <c r="J406" s="80">
        <f t="shared" si="87"/>
        <v>4895</v>
      </c>
      <c r="K406" s="81">
        <f t="shared" si="86"/>
        <v>-539.00000000003274</v>
      </c>
      <c r="L406" s="43"/>
      <c r="N406" s="112">
        <v>90127</v>
      </c>
      <c r="O406" s="112">
        <v>61517</v>
      </c>
      <c r="P406" s="112">
        <v>3290</v>
      </c>
      <c r="Q406" s="112"/>
      <c r="R406" s="112">
        <v>20801</v>
      </c>
      <c r="S406" s="113">
        <v>2945.7</v>
      </c>
      <c r="T406" s="113"/>
      <c r="U406" s="113"/>
      <c r="V406" s="112">
        <v>141510</v>
      </c>
      <c r="W406" s="112">
        <v>102340</v>
      </c>
      <c r="X406" s="112">
        <v>69705</v>
      </c>
      <c r="Y406" s="112">
        <v>92778</v>
      </c>
      <c r="Z406" s="112">
        <v>121512</v>
      </c>
    </row>
    <row r="407" spans="1:26" ht="18" hidden="1" customHeight="1" x14ac:dyDescent="0.2">
      <c r="A407" s="46">
        <v>43258</v>
      </c>
      <c r="B407" s="47" t="s">
        <v>99</v>
      </c>
      <c r="C407" s="48">
        <f t="shared" si="83"/>
        <v>2537</v>
      </c>
      <c r="D407" s="99">
        <f t="shared" si="88"/>
        <v>560</v>
      </c>
      <c r="E407" s="45">
        <f t="shared" si="89"/>
        <v>974.00000000001091</v>
      </c>
      <c r="F407" s="45">
        <f t="shared" si="84"/>
        <v>124</v>
      </c>
      <c r="G407" s="79">
        <f t="shared" si="85"/>
        <v>4195.0000000000109</v>
      </c>
      <c r="H407" s="77">
        <v>4206</v>
      </c>
      <c r="I407" s="77">
        <v>869</v>
      </c>
      <c r="J407" s="80">
        <f t="shared" si="87"/>
        <v>5075</v>
      </c>
      <c r="K407" s="81">
        <f t="shared" si="86"/>
        <v>879.99999999998909</v>
      </c>
      <c r="L407" s="43"/>
      <c r="N407" s="112">
        <v>90377</v>
      </c>
      <c r="O407" s="112">
        <v>61575</v>
      </c>
      <c r="P407" s="112">
        <v>3280</v>
      </c>
      <c r="Q407" s="112"/>
      <c r="R407" s="112">
        <v>20832</v>
      </c>
      <c r="S407" s="113">
        <v>2953.9</v>
      </c>
      <c r="T407" s="113"/>
      <c r="U407" s="113"/>
      <c r="V407" s="112">
        <v>141802</v>
      </c>
      <c r="W407" s="112">
        <v>102387</v>
      </c>
      <c r="X407" s="112">
        <v>69756</v>
      </c>
      <c r="Y407" s="112">
        <v>92778</v>
      </c>
      <c r="Z407" s="112">
        <v>121603</v>
      </c>
    </row>
    <row r="408" spans="1:26" ht="18" hidden="1" customHeight="1" x14ac:dyDescent="0.2">
      <c r="A408" s="46">
        <v>43259</v>
      </c>
      <c r="B408" s="47" t="s">
        <v>100</v>
      </c>
      <c r="C408" s="48">
        <f t="shared" si="83"/>
        <v>0</v>
      </c>
      <c r="D408" s="99">
        <f t="shared" si="88"/>
        <v>0</v>
      </c>
      <c r="E408" s="45">
        <f t="shared" si="89"/>
        <v>0</v>
      </c>
      <c r="F408" s="45">
        <f t="shared" si="84"/>
        <v>0</v>
      </c>
      <c r="G408" s="79">
        <f t="shared" si="85"/>
        <v>0</v>
      </c>
      <c r="H408" s="77">
        <v>3893</v>
      </c>
      <c r="I408" s="77">
        <v>882</v>
      </c>
      <c r="J408" s="80">
        <f t="shared" si="87"/>
        <v>4775</v>
      </c>
      <c r="K408" s="81">
        <f t="shared" si="86"/>
        <v>4775</v>
      </c>
      <c r="L408" s="43"/>
      <c r="N408" s="112">
        <v>90437</v>
      </c>
      <c r="O408" s="112">
        <v>61635</v>
      </c>
      <c r="P408" s="112">
        <v>3290</v>
      </c>
      <c r="Q408" s="112"/>
      <c r="R408" s="112">
        <v>20858</v>
      </c>
      <c r="S408" s="113">
        <v>2961.8</v>
      </c>
      <c r="T408" s="113"/>
      <c r="U408" s="113"/>
      <c r="V408" s="112">
        <v>142079</v>
      </c>
      <c r="W408" s="112">
        <v>102440</v>
      </c>
      <c r="X408" s="112">
        <v>69803</v>
      </c>
      <c r="Y408" s="112">
        <v>92778</v>
      </c>
      <c r="Z408" s="112">
        <v>121727</v>
      </c>
    </row>
    <row r="409" spans="1:26" ht="18" hidden="1" customHeight="1" x14ac:dyDescent="0.2">
      <c r="A409" s="46">
        <v>43260</v>
      </c>
      <c r="B409" s="47" t="s">
        <v>101</v>
      </c>
      <c r="C409" s="48">
        <f t="shared" si="83"/>
        <v>0</v>
      </c>
      <c r="D409" s="99">
        <f t="shared" si="88"/>
        <v>0</v>
      </c>
      <c r="E409" s="45">
        <f t="shared" si="89"/>
        <v>0</v>
      </c>
      <c r="F409" s="45">
        <f t="shared" si="84"/>
        <v>0</v>
      </c>
      <c r="G409" s="79">
        <f t="shared" si="85"/>
        <v>0</v>
      </c>
      <c r="H409" s="77">
        <v>0</v>
      </c>
      <c r="I409" s="77">
        <v>1786</v>
      </c>
      <c r="J409" s="80">
        <f t="shared" si="87"/>
        <v>1786</v>
      </c>
      <c r="K409" s="81">
        <f t="shared" si="86"/>
        <v>1786</v>
      </c>
      <c r="L409" s="43"/>
      <c r="N409" s="153">
        <v>90437</v>
      </c>
      <c r="O409" s="153">
        <v>61635</v>
      </c>
      <c r="P409" s="153">
        <v>3290</v>
      </c>
      <c r="Q409" s="153"/>
      <c r="R409" s="153">
        <v>20858</v>
      </c>
      <c r="S409" s="154">
        <v>2961.8</v>
      </c>
      <c r="T409" s="154"/>
      <c r="U409" s="154"/>
      <c r="V409" s="153">
        <v>142079</v>
      </c>
      <c r="W409" s="153">
        <v>102440</v>
      </c>
      <c r="X409" s="153">
        <v>69803</v>
      </c>
      <c r="Y409" s="153">
        <v>92778</v>
      </c>
      <c r="Z409" s="153">
        <v>121727</v>
      </c>
    </row>
    <row r="410" spans="1:26" ht="18" hidden="1" customHeight="1" x14ac:dyDescent="0.2">
      <c r="A410" s="46">
        <v>43261</v>
      </c>
      <c r="B410" s="47" t="s">
        <v>95</v>
      </c>
      <c r="C410" s="48">
        <f t="shared" ref="C410:C456" si="90">(V411-V410)*1+(W411-W410)*32+(X411-X410)*12+(Y411-Y410)*6</f>
        <v>3553</v>
      </c>
      <c r="D410" s="99">
        <f t="shared" si="88"/>
        <v>1496</v>
      </c>
      <c r="E410" s="45">
        <f t="shared" si="89"/>
        <v>3031.9999999999891</v>
      </c>
      <c r="F410" s="45">
        <f t="shared" ref="F410:F457" si="91">(Z411-Z410)*1</f>
        <v>310</v>
      </c>
      <c r="G410" s="79">
        <f t="shared" ref="G410:G457" si="92">C410+D410+F410+E410</f>
        <v>8390.9999999999891</v>
      </c>
      <c r="H410" s="77">
        <v>0</v>
      </c>
      <c r="I410" s="77">
        <v>2262</v>
      </c>
      <c r="J410" s="80">
        <f t="shared" si="87"/>
        <v>2262</v>
      </c>
      <c r="K410" s="81">
        <f t="shared" ref="K410:K456" si="93">J410-G410</f>
        <v>-6128.9999999999891</v>
      </c>
      <c r="L410" s="43"/>
      <c r="N410" s="153">
        <v>90437</v>
      </c>
      <c r="O410" s="153">
        <v>61635</v>
      </c>
      <c r="P410" s="153">
        <v>3290</v>
      </c>
      <c r="Q410" s="153"/>
      <c r="R410" s="153">
        <v>20858</v>
      </c>
      <c r="S410" s="154">
        <v>2961.8</v>
      </c>
      <c r="T410" s="154"/>
      <c r="U410" s="154"/>
      <c r="V410" s="153">
        <v>142079</v>
      </c>
      <c r="W410" s="153">
        <v>102440</v>
      </c>
      <c r="X410" s="153">
        <v>69803</v>
      </c>
      <c r="Y410" s="153">
        <v>92778</v>
      </c>
      <c r="Z410" s="153">
        <v>121727</v>
      </c>
    </row>
    <row r="411" spans="1:26" ht="18" hidden="1" customHeight="1" x14ac:dyDescent="0.2">
      <c r="A411" s="46">
        <v>43262</v>
      </c>
      <c r="B411" s="47" t="s">
        <v>96</v>
      </c>
      <c r="C411" s="48">
        <f t="shared" si="90"/>
        <v>2268</v>
      </c>
      <c r="D411" s="99">
        <f t="shared" si="88"/>
        <v>1400</v>
      </c>
      <c r="E411" s="45">
        <f t="shared" si="89"/>
        <v>1044</v>
      </c>
      <c r="F411" s="45">
        <f t="shared" si="91"/>
        <v>103</v>
      </c>
      <c r="G411" s="79">
        <f t="shared" si="92"/>
        <v>4815</v>
      </c>
      <c r="H411" s="77">
        <v>4118</v>
      </c>
      <c r="I411" s="77">
        <v>859</v>
      </c>
      <c r="J411" s="80">
        <f t="shared" si="87"/>
        <v>4977</v>
      </c>
      <c r="K411" s="81">
        <f t="shared" si="93"/>
        <v>162</v>
      </c>
      <c r="L411" s="43"/>
      <c r="N411" s="112">
        <v>90607</v>
      </c>
      <c r="O411" s="112">
        <v>61697</v>
      </c>
      <c r="P411" s="112">
        <v>3307</v>
      </c>
      <c r="Q411" s="112"/>
      <c r="R411" s="112">
        <v>20938</v>
      </c>
      <c r="S411" s="113">
        <v>2986.4</v>
      </c>
      <c r="T411" s="113"/>
      <c r="U411" s="113"/>
      <c r="V411" s="112">
        <v>142716</v>
      </c>
      <c r="W411" s="112">
        <v>102509</v>
      </c>
      <c r="X411" s="112">
        <v>69862</v>
      </c>
      <c r="Y411" s="112">
        <v>92778</v>
      </c>
      <c r="Z411" s="112">
        <v>122037</v>
      </c>
    </row>
    <row r="412" spans="1:26" ht="18" hidden="1" customHeight="1" x14ac:dyDescent="0.2">
      <c r="A412" s="46">
        <v>43263</v>
      </c>
      <c r="B412" s="47" t="s">
        <v>97</v>
      </c>
      <c r="C412" s="48">
        <f t="shared" si="90"/>
        <v>2307</v>
      </c>
      <c r="D412" s="99">
        <f t="shared" si="88"/>
        <v>1376</v>
      </c>
      <c r="E412" s="45">
        <f t="shared" si="89"/>
        <v>961.99999999996726</v>
      </c>
      <c r="F412" s="45">
        <f t="shared" si="91"/>
        <v>81</v>
      </c>
      <c r="G412" s="79">
        <f t="shared" si="92"/>
        <v>4725.9999999999673</v>
      </c>
      <c r="H412" s="77">
        <v>4057</v>
      </c>
      <c r="I412" s="77">
        <v>826</v>
      </c>
      <c r="J412" s="80">
        <f t="shared" si="87"/>
        <v>4883</v>
      </c>
      <c r="K412" s="81">
        <f t="shared" si="93"/>
        <v>157.00000000003274</v>
      </c>
      <c r="L412" s="43"/>
      <c r="N412" s="112">
        <v>90767</v>
      </c>
      <c r="O412" s="112">
        <v>61761</v>
      </c>
      <c r="P412" s="112">
        <v>3322</v>
      </c>
      <c r="Q412" s="112"/>
      <c r="R412" s="112">
        <v>20962</v>
      </c>
      <c r="S412" s="113">
        <v>2994.9</v>
      </c>
      <c r="T412" s="113"/>
      <c r="U412" s="113"/>
      <c r="V412" s="112">
        <v>142948</v>
      </c>
      <c r="W412" s="112">
        <v>102546</v>
      </c>
      <c r="X412" s="112">
        <v>69933</v>
      </c>
      <c r="Y412" s="112">
        <v>92778</v>
      </c>
      <c r="Z412" s="112">
        <v>122140</v>
      </c>
    </row>
    <row r="413" spans="1:26" ht="18" hidden="1" customHeight="1" x14ac:dyDescent="0.2">
      <c r="A413" s="46">
        <f>A412+1</f>
        <v>43264</v>
      </c>
      <c r="B413" s="47" t="s">
        <v>98</v>
      </c>
      <c r="C413" s="48">
        <f t="shared" si="90"/>
        <v>2131</v>
      </c>
      <c r="D413" s="99">
        <f t="shared" si="88"/>
        <v>1040</v>
      </c>
      <c r="E413" s="45">
        <f t="shared" si="89"/>
        <v>1025.0000000000218</v>
      </c>
      <c r="F413" s="45">
        <f t="shared" si="91"/>
        <v>100</v>
      </c>
      <c r="G413" s="79">
        <f t="shared" si="92"/>
        <v>4296.0000000000218</v>
      </c>
      <c r="H413" s="77">
        <v>3734</v>
      </c>
      <c r="I413" s="77">
        <v>779</v>
      </c>
      <c r="J413" s="80">
        <f t="shared" si="87"/>
        <v>4513</v>
      </c>
      <c r="K413" s="81">
        <f t="shared" si="93"/>
        <v>216.99999999997817</v>
      </c>
      <c r="L413" s="43"/>
      <c r="N413" s="112">
        <v>90927</v>
      </c>
      <c r="O413" s="112">
        <v>61817</v>
      </c>
      <c r="P413" s="112">
        <v>3334</v>
      </c>
      <c r="Q413" s="112"/>
      <c r="R413" s="112">
        <v>20988</v>
      </c>
      <c r="S413" s="113">
        <v>3002.7</v>
      </c>
      <c r="T413" s="113"/>
      <c r="U413" s="113"/>
      <c r="V413" s="112">
        <v>143187</v>
      </c>
      <c r="W413" s="112">
        <v>102584</v>
      </c>
      <c r="X413" s="112">
        <v>70004</v>
      </c>
      <c r="Y413" s="112">
        <v>92778</v>
      </c>
      <c r="Z413" s="112">
        <v>122221</v>
      </c>
    </row>
    <row r="414" spans="1:26" ht="18" hidden="1" customHeight="1" x14ac:dyDescent="0.2">
      <c r="A414" s="46">
        <f t="shared" ref="A414:A477" si="94">A413+1</f>
        <v>43265</v>
      </c>
      <c r="B414" s="47" t="s">
        <v>99</v>
      </c>
      <c r="C414" s="48">
        <f t="shared" si="90"/>
        <v>2359</v>
      </c>
      <c r="D414" s="99">
        <f t="shared" si="88"/>
        <v>1016</v>
      </c>
      <c r="E414" s="45">
        <f t="shared" si="89"/>
        <v>901.00000000002183</v>
      </c>
      <c r="F414" s="45">
        <f t="shared" si="91"/>
        <v>90</v>
      </c>
      <c r="G414" s="79">
        <f t="shared" si="92"/>
        <v>4366.0000000000218</v>
      </c>
      <c r="H414" s="77">
        <v>3818</v>
      </c>
      <c r="I414" s="77">
        <v>736</v>
      </c>
      <c r="J414" s="80">
        <f t="shared" si="87"/>
        <v>4554</v>
      </c>
      <c r="K414" s="81">
        <f t="shared" si="93"/>
        <v>187.99999999997817</v>
      </c>
      <c r="L414" s="43"/>
      <c r="N414" s="112">
        <v>91047</v>
      </c>
      <c r="O414" s="112">
        <v>61864</v>
      </c>
      <c r="P414" s="112">
        <v>3344</v>
      </c>
      <c r="Q414" s="112"/>
      <c r="R414" s="112">
        <v>21017</v>
      </c>
      <c r="S414" s="113">
        <v>3011</v>
      </c>
      <c r="T414" s="113"/>
      <c r="U414" s="113"/>
      <c r="V414" s="112">
        <v>143426</v>
      </c>
      <c r="W414" s="112">
        <v>102621</v>
      </c>
      <c r="X414" s="112">
        <v>70063</v>
      </c>
      <c r="Y414" s="112">
        <v>92778</v>
      </c>
      <c r="Z414" s="112">
        <v>122321</v>
      </c>
    </row>
    <row r="415" spans="1:26" ht="18" hidden="1" customHeight="1" x14ac:dyDescent="0.2">
      <c r="A415" s="46">
        <f t="shared" si="94"/>
        <v>43266</v>
      </c>
      <c r="B415" s="47" t="s">
        <v>100</v>
      </c>
      <c r="C415" s="48">
        <f t="shared" si="90"/>
        <v>0</v>
      </c>
      <c r="D415" s="99">
        <f t="shared" si="88"/>
        <v>0</v>
      </c>
      <c r="E415" s="45">
        <f t="shared" si="89"/>
        <v>0</v>
      </c>
      <c r="F415" s="45">
        <f t="shared" si="91"/>
        <v>0</v>
      </c>
      <c r="G415" s="79">
        <f t="shared" si="92"/>
        <v>0</v>
      </c>
      <c r="H415" s="77">
        <v>3192</v>
      </c>
      <c r="I415" s="77">
        <v>685</v>
      </c>
      <c r="J415" s="80">
        <f t="shared" si="87"/>
        <v>3877</v>
      </c>
      <c r="K415" s="81">
        <f t="shared" si="93"/>
        <v>3877</v>
      </c>
      <c r="L415" s="43"/>
      <c r="N415" s="112">
        <v>91157</v>
      </c>
      <c r="O415" s="112">
        <v>61905</v>
      </c>
      <c r="P415" s="112">
        <v>3361</v>
      </c>
      <c r="Q415" s="112"/>
      <c r="R415" s="112">
        <v>21042</v>
      </c>
      <c r="S415" s="113">
        <v>3018.3</v>
      </c>
      <c r="T415" s="113"/>
      <c r="U415" s="113"/>
      <c r="V415" s="112">
        <v>143677</v>
      </c>
      <c r="W415" s="112">
        <v>102661</v>
      </c>
      <c r="X415" s="112">
        <v>70132</v>
      </c>
      <c r="Y415" s="112">
        <v>92778</v>
      </c>
      <c r="Z415" s="112">
        <v>122411</v>
      </c>
    </row>
    <row r="416" spans="1:26" ht="18" hidden="1" customHeight="1" x14ac:dyDescent="0.2">
      <c r="A416" s="46">
        <f t="shared" si="94"/>
        <v>43267</v>
      </c>
      <c r="B416" s="56" t="s">
        <v>103</v>
      </c>
      <c r="C416" s="48">
        <f t="shared" si="90"/>
        <v>0</v>
      </c>
      <c r="D416" s="99">
        <f t="shared" si="88"/>
        <v>0</v>
      </c>
      <c r="E416" s="45">
        <f t="shared" si="89"/>
        <v>0</v>
      </c>
      <c r="F416" s="45">
        <f t="shared" si="91"/>
        <v>0</v>
      </c>
      <c r="G416" s="79">
        <f t="shared" si="92"/>
        <v>0</v>
      </c>
      <c r="H416" s="77">
        <v>0</v>
      </c>
      <c r="I416" s="77">
        <v>1666</v>
      </c>
      <c r="J416" s="80">
        <f t="shared" si="87"/>
        <v>1666</v>
      </c>
      <c r="K416" s="81">
        <f t="shared" si="93"/>
        <v>1666</v>
      </c>
      <c r="L416" s="43"/>
      <c r="N416" s="153">
        <v>91157</v>
      </c>
      <c r="O416" s="153">
        <v>61905</v>
      </c>
      <c r="P416" s="153">
        <v>3361</v>
      </c>
      <c r="Q416" s="153"/>
      <c r="R416" s="153">
        <v>21042</v>
      </c>
      <c r="S416" s="154">
        <v>3018.3</v>
      </c>
      <c r="T416" s="154"/>
      <c r="U416" s="154"/>
      <c r="V416" s="153">
        <v>143677</v>
      </c>
      <c r="W416" s="153">
        <v>102661</v>
      </c>
      <c r="X416" s="153">
        <v>70132</v>
      </c>
      <c r="Y416" s="153">
        <v>92778</v>
      </c>
      <c r="Z416" s="153">
        <v>122411</v>
      </c>
    </row>
    <row r="417" spans="1:26" ht="18" hidden="1" customHeight="1" x14ac:dyDescent="0.2">
      <c r="A417" s="46">
        <f t="shared" si="94"/>
        <v>43268</v>
      </c>
      <c r="B417" s="56" t="s">
        <v>104</v>
      </c>
      <c r="C417" s="48">
        <f t="shared" si="90"/>
        <v>0</v>
      </c>
      <c r="D417" s="99">
        <f t="shared" si="88"/>
        <v>0</v>
      </c>
      <c r="E417" s="45">
        <f t="shared" si="89"/>
        <v>0</v>
      </c>
      <c r="F417" s="45">
        <f t="shared" si="91"/>
        <v>0</v>
      </c>
      <c r="G417" s="79">
        <f t="shared" si="92"/>
        <v>0</v>
      </c>
      <c r="H417" s="77">
        <v>0</v>
      </c>
      <c r="I417" s="77">
        <v>1761</v>
      </c>
      <c r="J417" s="80">
        <f t="shared" si="87"/>
        <v>1761</v>
      </c>
      <c r="K417" s="81">
        <f t="shared" si="93"/>
        <v>1761</v>
      </c>
      <c r="L417" s="43"/>
      <c r="N417" s="153">
        <v>91157</v>
      </c>
      <c r="O417" s="153">
        <v>61905</v>
      </c>
      <c r="P417" s="153">
        <v>3361</v>
      </c>
      <c r="Q417" s="153"/>
      <c r="R417" s="153">
        <v>21042</v>
      </c>
      <c r="S417" s="154">
        <v>3018.3</v>
      </c>
      <c r="T417" s="154"/>
      <c r="U417" s="154"/>
      <c r="V417" s="153">
        <v>143677</v>
      </c>
      <c r="W417" s="153">
        <v>102661</v>
      </c>
      <c r="X417" s="153">
        <v>70132</v>
      </c>
      <c r="Y417" s="153">
        <v>92778</v>
      </c>
      <c r="Z417" s="153">
        <v>122411</v>
      </c>
    </row>
    <row r="418" spans="1:26" ht="18" hidden="1" customHeight="1" x14ac:dyDescent="0.2">
      <c r="A418" s="46">
        <f t="shared" si="94"/>
        <v>43269</v>
      </c>
      <c r="B418" s="56" t="s">
        <v>105</v>
      </c>
      <c r="C418" s="48">
        <f t="shared" si="90"/>
        <v>3409</v>
      </c>
      <c r="D418" s="99">
        <f t="shared" si="88"/>
        <v>1528</v>
      </c>
      <c r="E418" s="45">
        <f t="shared" si="89"/>
        <v>4066</v>
      </c>
      <c r="F418" s="45">
        <f t="shared" si="91"/>
        <v>371</v>
      </c>
      <c r="G418" s="79">
        <f t="shared" si="92"/>
        <v>9374</v>
      </c>
      <c r="H418" s="77">
        <v>0</v>
      </c>
      <c r="I418" s="77">
        <v>2562</v>
      </c>
      <c r="J418" s="80">
        <f t="shared" si="87"/>
        <v>2562</v>
      </c>
      <c r="K418" s="81">
        <f t="shared" si="93"/>
        <v>-6812</v>
      </c>
      <c r="L418" s="43"/>
      <c r="N418" s="153">
        <v>91157</v>
      </c>
      <c r="O418" s="153">
        <v>61905</v>
      </c>
      <c r="P418" s="153">
        <v>3361</v>
      </c>
      <c r="Q418" s="153"/>
      <c r="R418" s="153">
        <v>21042</v>
      </c>
      <c r="S418" s="154">
        <v>3018.3</v>
      </c>
      <c r="T418" s="154"/>
      <c r="U418" s="154"/>
      <c r="V418" s="153">
        <v>143677</v>
      </c>
      <c r="W418" s="153">
        <v>102661</v>
      </c>
      <c r="X418" s="153">
        <v>70132</v>
      </c>
      <c r="Y418" s="153">
        <v>92778</v>
      </c>
      <c r="Z418" s="153">
        <v>122411</v>
      </c>
    </row>
    <row r="419" spans="1:26" ht="18" hidden="1" customHeight="1" x14ac:dyDescent="0.2">
      <c r="A419" s="46">
        <f t="shared" si="94"/>
        <v>43270</v>
      </c>
      <c r="B419" s="47" t="s">
        <v>97</v>
      </c>
      <c r="C419" s="48">
        <f t="shared" si="90"/>
        <v>2406</v>
      </c>
      <c r="D419" s="99">
        <f t="shared" si="88"/>
        <v>1448</v>
      </c>
      <c r="E419" s="45">
        <f t="shared" si="89"/>
        <v>998.99999999998909</v>
      </c>
      <c r="F419" s="45">
        <f t="shared" si="91"/>
        <v>100</v>
      </c>
      <c r="G419" s="79">
        <f t="shared" si="92"/>
        <v>4952.9999999999891</v>
      </c>
      <c r="H419" s="77">
        <v>4185</v>
      </c>
      <c r="I419" s="77">
        <v>752</v>
      </c>
      <c r="J419" s="80">
        <f t="shared" si="87"/>
        <v>4937</v>
      </c>
      <c r="K419" s="81">
        <f t="shared" si="93"/>
        <v>-15.999999999989086</v>
      </c>
      <c r="L419" s="43"/>
      <c r="N419" s="112">
        <v>91327</v>
      </c>
      <c r="O419" s="112">
        <v>61961</v>
      </c>
      <c r="P419" s="112">
        <v>3382</v>
      </c>
      <c r="Q419" s="112"/>
      <c r="R419" s="112">
        <v>21148</v>
      </c>
      <c r="S419" s="113">
        <v>3051.3</v>
      </c>
      <c r="T419" s="113"/>
      <c r="U419" s="113"/>
      <c r="V419" s="112">
        <v>144322</v>
      </c>
      <c r="W419" s="112">
        <v>102726</v>
      </c>
      <c r="X419" s="112">
        <v>70189</v>
      </c>
      <c r="Y419" s="112">
        <v>92778</v>
      </c>
      <c r="Z419" s="112">
        <v>122782</v>
      </c>
    </row>
    <row r="420" spans="1:26" ht="18" hidden="1" customHeight="1" x14ac:dyDescent="0.2">
      <c r="A420" s="46">
        <f t="shared" si="94"/>
        <v>43271</v>
      </c>
      <c r="B420" s="47" t="s">
        <v>98</v>
      </c>
      <c r="C420" s="48">
        <f t="shared" si="90"/>
        <v>2356</v>
      </c>
      <c r="D420" s="99">
        <f t="shared" si="88"/>
        <v>1400</v>
      </c>
      <c r="E420" s="45">
        <f t="shared" si="89"/>
        <v>978.00000000001091</v>
      </c>
      <c r="F420" s="45">
        <f t="shared" si="91"/>
        <v>76</v>
      </c>
      <c r="G420" s="79">
        <f t="shared" si="92"/>
        <v>4810.0000000000109</v>
      </c>
      <c r="H420" s="77">
        <v>4143</v>
      </c>
      <c r="I420" s="77">
        <v>870</v>
      </c>
      <c r="J420" s="80">
        <f t="shared" si="87"/>
        <v>5013</v>
      </c>
      <c r="K420" s="81">
        <f t="shared" si="93"/>
        <v>202.99999999998909</v>
      </c>
      <c r="L420" s="43"/>
      <c r="N420" s="112">
        <v>91497</v>
      </c>
      <c r="O420" s="112">
        <v>62021</v>
      </c>
      <c r="P420" s="112">
        <v>3393</v>
      </c>
      <c r="Q420" s="112"/>
      <c r="R420" s="112">
        <v>21175</v>
      </c>
      <c r="S420" s="113">
        <v>3059.4</v>
      </c>
      <c r="T420" s="113"/>
      <c r="U420" s="113"/>
      <c r="V420" s="112">
        <v>144560</v>
      </c>
      <c r="W420" s="112">
        <v>102769</v>
      </c>
      <c r="X420" s="112">
        <v>70255</v>
      </c>
      <c r="Y420" s="112">
        <v>92778</v>
      </c>
      <c r="Z420" s="112">
        <v>122882</v>
      </c>
    </row>
    <row r="421" spans="1:26" ht="18" hidden="1" customHeight="1" x14ac:dyDescent="0.2">
      <c r="A421" s="46">
        <f t="shared" si="94"/>
        <v>43272</v>
      </c>
      <c r="B421" s="47" t="s">
        <v>99</v>
      </c>
      <c r="C421" s="48">
        <f t="shared" si="90"/>
        <v>2774</v>
      </c>
      <c r="D421" s="99">
        <f t="shared" si="88"/>
        <v>2344</v>
      </c>
      <c r="E421" s="45">
        <f t="shared" si="89"/>
        <v>928</v>
      </c>
      <c r="F421" s="45">
        <f t="shared" si="91"/>
        <v>85</v>
      </c>
      <c r="G421" s="79">
        <f t="shared" si="92"/>
        <v>6131</v>
      </c>
      <c r="H421" s="77">
        <v>4490</v>
      </c>
      <c r="I421" s="77">
        <v>843</v>
      </c>
      <c r="J421" s="80">
        <f t="shared" si="87"/>
        <v>5333</v>
      </c>
      <c r="K421" s="81">
        <f t="shared" si="93"/>
        <v>-798</v>
      </c>
      <c r="L421" s="43"/>
      <c r="N421" s="112">
        <v>91657</v>
      </c>
      <c r="O421" s="112">
        <v>62085</v>
      </c>
      <c r="P421" s="112">
        <v>3408</v>
      </c>
      <c r="Q421" s="112"/>
      <c r="R421" s="112">
        <v>21205</v>
      </c>
      <c r="S421" s="113">
        <v>3067.3</v>
      </c>
      <c r="T421" s="113"/>
      <c r="U421" s="113"/>
      <c r="V421" s="112">
        <v>144792</v>
      </c>
      <c r="W421" s="112">
        <v>102811</v>
      </c>
      <c r="X421" s="112">
        <v>70320</v>
      </c>
      <c r="Y421" s="112">
        <v>92778</v>
      </c>
      <c r="Z421" s="112">
        <v>122958</v>
      </c>
    </row>
    <row r="422" spans="1:26" ht="18" hidden="1" customHeight="1" x14ac:dyDescent="0.2">
      <c r="A422" s="46">
        <f t="shared" si="94"/>
        <v>43273</v>
      </c>
      <c r="B422" s="47" t="s">
        <v>100</v>
      </c>
      <c r="C422" s="48">
        <f t="shared" si="90"/>
        <v>0</v>
      </c>
      <c r="D422" s="99">
        <f t="shared" si="88"/>
        <v>0</v>
      </c>
      <c r="E422" s="45">
        <f t="shared" si="89"/>
        <v>0</v>
      </c>
      <c r="F422" s="45">
        <f t="shared" si="91"/>
        <v>0</v>
      </c>
      <c r="G422" s="79">
        <f t="shared" si="92"/>
        <v>0</v>
      </c>
      <c r="H422" s="77">
        <v>4605</v>
      </c>
      <c r="I422" s="77">
        <v>949</v>
      </c>
      <c r="J422" s="80">
        <f t="shared" si="87"/>
        <v>5554</v>
      </c>
      <c r="K422" s="81">
        <f t="shared" si="93"/>
        <v>5554</v>
      </c>
      <c r="L422" s="43"/>
      <c r="N422" s="112">
        <v>91937</v>
      </c>
      <c r="O422" s="112">
        <v>62148</v>
      </c>
      <c r="P422" s="112">
        <v>3421</v>
      </c>
      <c r="Q422" s="112"/>
      <c r="R422" s="112">
        <v>21233</v>
      </c>
      <c r="S422" s="113">
        <v>3074.8</v>
      </c>
      <c r="T422" s="113"/>
      <c r="U422" s="113"/>
      <c r="V422" s="112">
        <v>145062</v>
      </c>
      <c r="W422" s="112">
        <v>102863</v>
      </c>
      <c r="X422" s="112">
        <v>70390</v>
      </c>
      <c r="Y422" s="112">
        <v>92778</v>
      </c>
      <c r="Z422" s="112">
        <v>123043</v>
      </c>
    </row>
    <row r="423" spans="1:26" ht="18" hidden="1" customHeight="1" x14ac:dyDescent="0.2">
      <c r="A423" s="46">
        <f t="shared" si="94"/>
        <v>43274</v>
      </c>
      <c r="B423" s="47" t="s">
        <v>101</v>
      </c>
      <c r="C423" s="48">
        <f t="shared" si="90"/>
        <v>0</v>
      </c>
      <c r="D423" s="99">
        <f t="shared" si="88"/>
        <v>0</v>
      </c>
      <c r="E423" s="45">
        <f t="shared" si="89"/>
        <v>0</v>
      </c>
      <c r="F423" s="45">
        <f t="shared" si="91"/>
        <v>0</v>
      </c>
      <c r="G423" s="79">
        <f t="shared" si="92"/>
        <v>0</v>
      </c>
      <c r="H423" s="77">
        <v>0</v>
      </c>
      <c r="I423" s="77">
        <v>2214</v>
      </c>
      <c r="J423" s="80">
        <f t="shared" si="87"/>
        <v>2214</v>
      </c>
      <c r="K423" s="81">
        <f t="shared" si="93"/>
        <v>2214</v>
      </c>
      <c r="L423" s="43"/>
      <c r="N423" s="153">
        <v>91937</v>
      </c>
      <c r="O423" s="153">
        <v>62148</v>
      </c>
      <c r="P423" s="153">
        <v>3421</v>
      </c>
      <c r="Q423" s="153"/>
      <c r="R423" s="153">
        <v>21233</v>
      </c>
      <c r="S423" s="154">
        <v>3074.8</v>
      </c>
      <c r="T423" s="154"/>
      <c r="U423" s="154"/>
      <c r="V423" s="153">
        <v>145062</v>
      </c>
      <c r="W423" s="153">
        <v>102863</v>
      </c>
      <c r="X423" s="153">
        <v>70390</v>
      </c>
      <c r="Y423" s="153">
        <v>92778</v>
      </c>
      <c r="Z423" s="153">
        <v>123043</v>
      </c>
    </row>
    <row r="424" spans="1:26" ht="18" hidden="1" customHeight="1" x14ac:dyDescent="0.2">
      <c r="A424" s="46">
        <f t="shared" si="94"/>
        <v>43275</v>
      </c>
      <c r="B424" s="47" t="s">
        <v>95</v>
      </c>
      <c r="C424" s="48">
        <f t="shared" si="90"/>
        <v>3802</v>
      </c>
      <c r="D424" s="99">
        <f t="shared" si="88"/>
        <v>696</v>
      </c>
      <c r="E424" s="45">
        <f t="shared" si="89"/>
        <v>3178.9999999999673</v>
      </c>
      <c r="F424" s="45">
        <f t="shared" si="91"/>
        <v>308</v>
      </c>
      <c r="G424" s="79">
        <f t="shared" si="92"/>
        <v>7984.9999999999673</v>
      </c>
      <c r="H424" s="77">
        <v>0</v>
      </c>
      <c r="I424" s="77">
        <v>1957</v>
      </c>
      <c r="J424" s="80">
        <f t="shared" si="87"/>
        <v>1957</v>
      </c>
      <c r="K424" s="81">
        <f t="shared" si="93"/>
        <v>-6027.9999999999673</v>
      </c>
      <c r="L424" s="43"/>
      <c r="N424" s="153">
        <v>91937</v>
      </c>
      <c r="O424" s="153">
        <v>62148</v>
      </c>
      <c r="P424" s="153">
        <v>3421</v>
      </c>
      <c r="Q424" s="153"/>
      <c r="R424" s="153">
        <v>21233</v>
      </c>
      <c r="S424" s="154">
        <v>3074.8</v>
      </c>
      <c r="T424" s="154"/>
      <c r="U424" s="154"/>
      <c r="V424" s="153">
        <v>145062</v>
      </c>
      <c r="W424" s="153">
        <v>102863</v>
      </c>
      <c r="X424" s="153">
        <v>70390</v>
      </c>
      <c r="Y424" s="153">
        <v>92778</v>
      </c>
      <c r="Z424" s="153">
        <v>123043</v>
      </c>
    </row>
    <row r="425" spans="1:26" ht="18" hidden="1" customHeight="1" x14ac:dyDescent="0.2">
      <c r="A425" s="46">
        <f t="shared" si="94"/>
        <v>43276</v>
      </c>
      <c r="B425" s="47" t="s">
        <v>96</v>
      </c>
      <c r="C425" s="48">
        <f t="shared" si="90"/>
        <v>2670</v>
      </c>
      <c r="D425" s="99">
        <f t="shared" si="88"/>
        <v>1592</v>
      </c>
      <c r="E425" s="45">
        <f t="shared" si="89"/>
        <v>1011.0000000000327</v>
      </c>
      <c r="F425" s="45">
        <f t="shared" si="91"/>
        <v>126</v>
      </c>
      <c r="G425" s="79">
        <f t="shared" si="92"/>
        <v>5399.0000000000327</v>
      </c>
      <c r="H425" s="77">
        <v>4507</v>
      </c>
      <c r="I425" s="77">
        <v>481</v>
      </c>
      <c r="J425" s="80">
        <f t="shared" si="87"/>
        <v>4988</v>
      </c>
      <c r="K425" s="81">
        <f t="shared" si="93"/>
        <v>-411.00000000003274</v>
      </c>
      <c r="L425" s="43"/>
      <c r="N425" s="112">
        <v>92007</v>
      </c>
      <c r="O425" s="112">
        <v>62211</v>
      </c>
      <c r="P425" s="112">
        <v>3438</v>
      </c>
      <c r="Q425" s="112"/>
      <c r="R425" s="112">
        <v>21316</v>
      </c>
      <c r="S425" s="113">
        <v>3100.6</v>
      </c>
      <c r="T425" s="113"/>
      <c r="U425" s="113"/>
      <c r="V425" s="112">
        <v>145748</v>
      </c>
      <c r="W425" s="112">
        <v>102936</v>
      </c>
      <c r="X425" s="112">
        <v>70455</v>
      </c>
      <c r="Y425" s="112">
        <v>92778</v>
      </c>
      <c r="Z425" s="112">
        <v>123351</v>
      </c>
    </row>
    <row r="426" spans="1:26" ht="18" hidden="1" customHeight="1" x14ac:dyDescent="0.2">
      <c r="A426" s="46">
        <f t="shared" si="94"/>
        <v>43277</v>
      </c>
      <c r="B426" s="47" t="s">
        <v>97</v>
      </c>
      <c r="C426" s="48">
        <f t="shared" si="90"/>
        <v>2738</v>
      </c>
      <c r="D426" s="99">
        <f t="shared" si="88"/>
        <v>1480</v>
      </c>
      <c r="E426" s="45">
        <f t="shared" si="89"/>
        <v>905.99999999996726</v>
      </c>
      <c r="F426" s="45">
        <f t="shared" si="91"/>
        <v>113</v>
      </c>
      <c r="G426" s="79">
        <f t="shared" si="92"/>
        <v>5236.9999999999673</v>
      </c>
      <c r="H426" s="77">
        <v>4504</v>
      </c>
      <c r="I426" s="77">
        <v>951</v>
      </c>
      <c r="J426" s="80">
        <f t="shared" si="87"/>
        <v>5455</v>
      </c>
      <c r="K426" s="81">
        <f t="shared" si="93"/>
        <v>218.00000000003274</v>
      </c>
      <c r="L426" s="43"/>
      <c r="N426" s="112">
        <v>92187</v>
      </c>
      <c r="O426" s="112">
        <v>62278</v>
      </c>
      <c r="P426" s="112">
        <v>3457</v>
      </c>
      <c r="Q426" s="112"/>
      <c r="R426" s="112">
        <v>21343</v>
      </c>
      <c r="S426" s="113">
        <v>3108.8</v>
      </c>
      <c r="T426" s="113"/>
      <c r="U426" s="113"/>
      <c r="V426" s="112">
        <v>146042</v>
      </c>
      <c r="W426" s="112">
        <v>102987</v>
      </c>
      <c r="X426" s="112">
        <v>70517</v>
      </c>
      <c r="Y426" s="112">
        <v>92778</v>
      </c>
      <c r="Z426" s="112">
        <v>123477</v>
      </c>
    </row>
    <row r="427" spans="1:26" ht="18" hidden="1" customHeight="1" x14ac:dyDescent="0.2">
      <c r="A427" s="46">
        <f t="shared" si="94"/>
        <v>43278</v>
      </c>
      <c r="B427" s="47" t="s">
        <v>98</v>
      </c>
      <c r="C427" s="48">
        <f t="shared" si="90"/>
        <v>2486</v>
      </c>
      <c r="D427" s="99">
        <f t="shared" si="88"/>
        <v>1544</v>
      </c>
      <c r="E427" s="45">
        <f t="shared" si="89"/>
        <v>962.00000000002183</v>
      </c>
      <c r="F427" s="45">
        <f t="shared" si="91"/>
        <v>143</v>
      </c>
      <c r="G427" s="79">
        <f t="shared" si="92"/>
        <v>5135.0000000000218</v>
      </c>
      <c r="H427" s="77">
        <v>4389</v>
      </c>
      <c r="I427" s="77">
        <v>914</v>
      </c>
      <c r="J427" s="80">
        <f t="shared" si="87"/>
        <v>5303</v>
      </c>
      <c r="K427" s="81">
        <f t="shared" si="93"/>
        <v>167.99999999997817</v>
      </c>
      <c r="L427" s="43"/>
      <c r="N427" s="112">
        <v>92367</v>
      </c>
      <c r="O427" s="112">
        <v>62344</v>
      </c>
      <c r="P427" s="112">
        <v>3462</v>
      </c>
      <c r="Q427" s="112"/>
      <c r="R427" s="112">
        <v>21373</v>
      </c>
      <c r="S427" s="113">
        <v>3116.1</v>
      </c>
      <c r="T427" s="113"/>
      <c r="U427" s="113"/>
      <c r="V427" s="112">
        <v>146308</v>
      </c>
      <c r="W427" s="112">
        <v>103038</v>
      </c>
      <c r="X427" s="112">
        <v>70587</v>
      </c>
      <c r="Y427" s="112">
        <v>92778</v>
      </c>
      <c r="Z427" s="112">
        <v>123590</v>
      </c>
    </row>
    <row r="428" spans="1:26" ht="18" hidden="1" customHeight="1" x14ac:dyDescent="0.2">
      <c r="A428" s="46">
        <f t="shared" si="94"/>
        <v>43279</v>
      </c>
      <c r="B428" s="47" t="s">
        <v>99</v>
      </c>
      <c r="C428" s="48">
        <f t="shared" si="90"/>
        <v>2590</v>
      </c>
      <c r="D428" s="99">
        <f t="shared" si="88"/>
        <v>1440</v>
      </c>
      <c r="E428" s="45">
        <f t="shared" si="89"/>
        <v>894.99999999997817</v>
      </c>
      <c r="F428" s="45">
        <f t="shared" si="91"/>
        <v>138</v>
      </c>
      <c r="G428" s="79">
        <f t="shared" si="92"/>
        <v>5062.9999999999782</v>
      </c>
      <c r="H428" s="77">
        <v>4398</v>
      </c>
      <c r="I428" s="77">
        <v>913</v>
      </c>
      <c r="J428" s="80">
        <f t="shared" si="87"/>
        <v>5311</v>
      </c>
      <c r="K428" s="81">
        <f t="shared" si="93"/>
        <v>248.00000000002183</v>
      </c>
      <c r="L428" s="43"/>
      <c r="N428" s="112">
        <v>92547</v>
      </c>
      <c r="O428" s="112">
        <v>62415</v>
      </c>
      <c r="P428" s="112">
        <v>3475</v>
      </c>
      <c r="Q428" s="112"/>
      <c r="R428" s="112">
        <v>21399</v>
      </c>
      <c r="S428" s="113">
        <v>3123.9</v>
      </c>
      <c r="T428" s="113"/>
      <c r="U428" s="113"/>
      <c r="V428" s="112">
        <v>146578</v>
      </c>
      <c r="W428" s="112">
        <v>103084</v>
      </c>
      <c r="X428" s="112">
        <v>70649</v>
      </c>
      <c r="Y428" s="112">
        <v>92778</v>
      </c>
      <c r="Z428" s="112">
        <v>123733</v>
      </c>
    </row>
    <row r="429" spans="1:26" ht="18" hidden="1" customHeight="1" x14ac:dyDescent="0.2">
      <c r="A429" s="46">
        <f t="shared" si="94"/>
        <v>43280</v>
      </c>
      <c r="B429" s="47" t="s">
        <v>100</v>
      </c>
      <c r="C429" s="48">
        <f t="shared" si="90"/>
        <v>0</v>
      </c>
      <c r="D429" s="99">
        <f t="shared" si="88"/>
        <v>0</v>
      </c>
      <c r="E429" s="45">
        <f t="shared" si="89"/>
        <v>0</v>
      </c>
      <c r="F429" s="45">
        <f t="shared" si="91"/>
        <v>0</v>
      </c>
      <c r="G429" s="79">
        <f t="shared" si="92"/>
        <v>0</v>
      </c>
      <c r="H429" s="77">
        <v>4653</v>
      </c>
      <c r="I429" s="77">
        <v>924</v>
      </c>
      <c r="J429" s="80">
        <f t="shared" si="87"/>
        <v>5577</v>
      </c>
      <c r="K429" s="81">
        <f t="shared" si="93"/>
        <v>5577</v>
      </c>
      <c r="L429" s="43"/>
      <c r="N429" s="112">
        <v>92717</v>
      </c>
      <c r="O429" s="112">
        <v>62478</v>
      </c>
      <c r="P429" s="112">
        <v>3485</v>
      </c>
      <c r="Q429" s="112"/>
      <c r="R429" s="112">
        <v>21430</v>
      </c>
      <c r="S429" s="113">
        <v>3131.1</v>
      </c>
      <c r="T429" s="113"/>
      <c r="U429" s="113"/>
      <c r="V429" s="112">
        <v>146864</v>
      </c>
      <c r="W429" s="112">
        <v>103132</v>
      </c>
      <c r="X429" s="112">
        <v>70713</v>
      </c>
      <c r="Y429" s="112">
        <v>92778</v>
      </c>
      <c r="Z429" s="112">
        <v>123871</v>
      </c>
    </row>
    <row r="430" spans="1:26" ht="18" hidden="1" customHeight="1" x14ac:dyDescent="0.2">
      <c r="A430" s="46">
        <f t="shared" si="94"/>
        <v>43281</v>
      </c>
      <c r="B430" s="47" t="s">
        <v>101</v>
      </c>
      <c r="C430" s="48">
        <f t="shared" si="90"/>
        <v>0</v>
      </c>
      <c r="D430" s="99">
        <f t="shared" si="88"/>
        <v>0</v>
      </c>
      <c r="E430" s="45">
        <f t="shared" si="89"/>
        <v>0</v>
      </c>
      <c r="F430" s="45">
        <f t="shared" si="91"/>
        <v>0</v>
      </c>
      <c r="G430" s="79">
        <f t="shared" si="92"/>
        <v>0</v>
      </c>
      <c r="H430" s="77">
        <v>0</v>
      </c>
      <c r="I430" s="77">
        <v>2173</v>
      </c>
      <c r="J430" s="80">
        <f t="shared" si="87"/>
        <v>2173</v>
      </c>
      <c r="K430" s="81">
        <f t="shared" si="93"/>
        <v>2173</v>
      </c>
      <c r="L430" s="43"/>
      <c r="N430" s="153">
        <v>92717</v>
      </c>
      <c r="O430" s="153">
        <v>62478</v>
      </c>
      <c r="P430" s="153">
        <v>3485</v>
      </c>
      <c r="Q430" s="153"/>
      <c r="R430" s="153">
        <v>21430</v>
      </c>
      <c r="S430" s="154">
        <v>3131.1</v>
      </c>
      <c r="T430" s="154"/>
      <c r="U430" s="154"/>
      <c r="V430" s="153">
        <v>146864</v>
      </c>
      <c r="W430" s="153">
        <v>103132</v>
      </c>
      <c r="X430" s="153">
        <v>70713</v>
      </c>
      <c r="Y430" s="153">
        <v>92778</v>
      </c>
      <c r="Z430" s="153">
        <v>123871</v>
      </c>
    </row>
    <row r="431" spans="1:26" ht="18" hidden="1" customHeight="1" x14ac:dyDescent="0.2">
      <c r="A431" s="46">
        <f t="shared" si="94"/>
        <v>43282</v>
      </c>
      <c r="B431" s="47" t="s">
        <v>95</v>
      </c>
      <c r="C431" s="48">
        <f t="shared" si="90"/>
        <v>3852</v>
      </c>
      <c r="D431" s="99">
        <f t="shared" si="88"/>
        <v>1520</v>
      </c>
      <c r="E431" s="45">
        <f t="shared" si="89"/>
        <v>2977.9999999999891</v>
      </c>
      <c r="F431" s="45">
        <f t="shared" si="91"/>
        <v>356</v>
      </c>
      <c r="G431" s="79">
        <f t="shared" si="92"/>
        <v>8705.9999999999891</v>
      </c>
      <c r="H431" s="77">
        <v>0</v>
      </c>
      <c r="I431" s="77">
        <v>1829</v>
      </c>
      <c r="J431" s="80">
        <f>H431+I431</f>
        <v>1829</v>
      </c>
      <c r="K431" s="81">
        <f t="shared" si="93"/>
        <v>-6876.9999999999891</v>
      </c>
      <c r="L431" s="43"/>
      <c r="N431" s="153">
        <v>92717</v>
      </c>
      <c r="O431" s="153">
        <v>62478</v>
      </c>
      <c r="P431" s="153">
        <v>3485</v>
      </c>
      <c r="Q431" s="153"/>
      <c r="R431" s="153">
        <v>21430</v>
      </c>
      <c r="S431" s="154">
        <v>3131.1</v>
      </c>
      <c r="T431" s="154"/>
      <c r="U431" s="154"/>
      <c r="V431" s="153">
        <v>146864</v>
      </c>
      <c r="W431" s="153">
        <v>103132</v>
      </c>
      <c r="X431" s="153">
        <v>70713</v>
      </c>
      <c r="Y431" s="153">
        <v>92778</v>
      </c>
      <c r="Z431" s="153">
        <v>123871</v>
      </c>
    </row>
    <row r="432" spans="1:26" ht="18" hidden="1" customHeight="1" x14ac:dyDescent="0.2">
      <c r="A432" s="46">
        <f t="shared" si="94"/>
        <v>43283</v>
      </c>
      <c r="B432" s="47" t="s">
        <v>96</v>
      </c>
      <c r="C432" s="48">
        <f t="shared" si="90"/>
        <v>2601</v>
      </c>
      <c r="D432" s="99">
        <f t="shared" si="88"/>
        <v>1440</v>
      </c>
      <c r="E432" s="45">
        <f t="shared" si="89"/>
        <v>1131.0000000000327</v>
      </c>
      <c r="F432" s="45">
        <f t="shared" si="91"/>
        <v>106</v>
      </c>
      <c r="G432" s="79">
        <f t="shared" si="92"/>
        <v>5278.0000000000327</v>
      </c>
      <c r="H432" s="77">
        <v>4489</v>
      </c>
      <c r="I432" s="77">
        <v>473</v>
      </c>
      <c r="J432" s="80">
        <f t="shared" ref="J432:J461" si="95">H432+I432</f>
        <v>4962</v>
      </c>
      <c r="K432" s="81">
        <f t="shared" si="93"/>
        <v>-316.00000000003274</v>
      </c>
      <c r="L432" s="43"/>
      <c r="N432" s="112">
        <v>92887</v>
      </c>
      <c r="O432" s="112">
        <v>62539</v>
      </c>
      <c r="P432" s="112">
        <v>3505</v>
      </c>
      <c r="Q432" s="112"/>
      <c r="R432" s="112">
        <v>21516</v>
      </c>
      <c r="S432" s="113">
        <v>3155.2</v>
      </c>
      <c r="T432" s="113"/>
      <c r="U432" s="113"/>
      <c r="V432" s="112">
        <v>147524</v>
      </c>
      <c r="W432" s="112">
        <v>103204</v>
      </c>
      <c r="X432" s="112">
        <v>70787</v>
      </c>
      <c r="Y432" s="112">
        <v>92778</v>
      </c>
      <c r="Z432" s="112">
        <v>124227</v>
      </c>
    </row>
    <row r="433" spans="1:26" ht="18" hidden="1" customHeight="1" x14ac:dyDescent="0.2">
      <c r="A433" s="46">
        <f t="shared" si="94"/>
        <v>43284</v>
      </c>
      <c r="B433" s="47" t="s">
        <v>97</v>
      </c>
      <c r="C433" s="48">
        <f t="shared" si="90"/>
        <v>2596</v>
      </c>
      <c r="D433" s="99">
        <f t="shared" si="88"/>
        <v>1384</v>
      </c>
      <c r="E433" s="45">
        <f t="shared" si="89"/>
        <v>1014.9999999999782</v>
      </c>
      <c r="F433" s="45">
        <f t="shared" si="91"/>
        <v>142</v>
      </c>
      <c r="G433" s="79">
        <f t="shared" si="92"/>
        <v>5136.9999999999782</v>
      </c>
      <c r="H433" s="77">
        <v>4503</v>
      </c>
      <c r="I433" s="77">
        <v>925</v>
      </c>
      <c r="J433" s="80">
        <f t="shared" si="95"/>
        <v>5428</v>
      </c>
      <c r="K433" s="81">
        <f t="shared" si="93"/>
        <v>291.00000000002183</v>
      </c>
      <c r="L433" s="43"/>
      <c r="N433" s="112">
        <v>93057</v>
      </c>
      <c r="O433" s="112">
        <v>62601</v>
      </c>
      <c r="P433" s="112">
        <v>3515</v>
      </c>
      <c r="Q433" s="112"/>
      <c r="R433" s="112">
        <v>21543</v>
      </c>
      <c r="S433" s="113">
        <v>3164.4</v>
      </c>
      <c r="T433" s="113"/>
      <c r="U433" s="113"/>
      <c r="V433" s="112">
        <v>147817</v>
      </c>
      <c r="W433" s="112">
        <v>103251</v>
      </c>
      <c r="X433" s="112">
        <v>70854</v>
      </c>
      <c r="Y433" s="112">
        <v>92778</v>
      </c>
      <c r="Z433" s="112">
        <v>124333</v>
      </c>
    </row>
    <row r="434" spans="1:26" ht="18" hidden="1" customHeight="1" x14ac:dyDescent="0.2">
      <c r="A434" s="46">
        <f t="shared" si="94"/>
        <v>43285</v>
      </c>
      <c r="B434" s="47" t="s">
        <v>98</v>
      </c>
      <c r="C434" s="48">
        <f t="shared" si="90"/>
        <v>2781</v>
      </c>
      <c r="D434" s="99">
        <f t="shared" si="88"/>
        <v>1112</v>
      </c>
      <c r="E434" s="45">
        <f t="shared" si="89"/>
        <v>1022.0000000000218</v>
      </c>
      <c r="F434" s="45">
        <f t="shared" si="91"/>
        <v>101</v>
      </c>
      <c r="G434" s="79">
        <f t="shared" si="92"/>
        <v>5016.0000000000218</v>
      </c>
      <c r="H434" s="77">
        <v>4383</v>
      </c>
      <c r="I434" s="77">
        <v>817</v>
      </c>
      <c r="J434" s="80">
        <f t="shared" si="95"/>
        <v>5200</v>
      </c>
      <c r="K434" s="81">
        <f t="shared" si="93"/>
        <v>183.99999999997817</v>
      </c>
      <c r="L434" s="43"/>
      <c r="N434" s="112">
        <v>93217</v>
      </c>
      <c r="O434" s="112">
        <v>62660</v>
      </c>
      <c r="P434" s="112">
        <v>3528</v>
      </c>
      <c r="Q434" s="112"/>
      <c r="R434" s="112">
        <v>21574</v>
      </c>
      <c r="S434" s="113">
        <v>3172.6</v>
      </c>
      <c r="T434" s="113"/>
      <c r="U434" s="113"/>
      <c r="V434" s="112">
        <v>148001</v>
      </c>
      <c r="W434" s="112">
        <v>103299</v>
      </c>
      <c r="X434" s="112">
        <v>70927</v>
      </c>
      <c r="Y434" s="112">
        <v>92778</v>
      </c>
      <c r="Z434" s="112">
        <v>124475</v>
      </c>
    </row>
    <row r="435" spans="1:26" ht="18" hidden="1" customHeight="1" x14ac:dyDescent="0.2">
      <c r="A435" s="46">
        <f t="shared" si="94"/>
        <v>43286</v>
      </c>
      <c r="B435" s="47" t="s">
        <v>99</v>
      </c>
      <c r="C435" s="48">
        <f t="shared" si="90"/>
        <v>2137</v>
      </c>
      <c r="D435" s="99">
        <f t="shared" si="88"/>
        <v>1120</v>
      </c>
      <c r="E435" s="45">
        <f t="shared" si="89"/>
        <v>1022.9999999999673</v>
      </c>
      <c r="F435" s="45">
        <f t="shared" si="91"/>
        <v>119</v>
      </c>
      <c r="G435" s="79">
        <f t="shared" si="92"/>
        <v>4398.9999999999673</v>
      </c>
      <c r="H435" s="77">
        <v>3739</v>
      </c>
      <c r="I435" s="77">
        <v>770</v>
      </c>
      <c r="J435" s="80">
        <f t="shared" si="95"/>
        <v>4509</v>
      </c>
      <c r="K435" s="81">
        <f t="shared" si="93"/>
        <v>110.00000000003274</v>
      </c>
      <c r="L435" s="43"/>
      <c r="N435" s="112">
        <v>93347</v>
      </c>
      <c r="O435" s="112">
        <v>62708</v>
      </c>
      <c r="P435" s="112">
        <v>3537</v>
      </c>
      <c r="Q435" s="112"/>
      <c r="R435" s="112">
        <v>21600</v>
      </c>
      <c r="S435" s="113">
        <v>3180.9</v>
      </c>
      <c r="T435" s="113"/>
      <c r="U435" s="113"/>
      <c r="V435" s="112">
        <v>148354</v>
      </c>
      <c r="W435" s="112">
        <v>103349</v>
      </c>
      <c r="X435" s="112">
        <v>70996</v>
      </c>
      <c r="Y435" s="112">
        <v>92778</v>
      </c>
      <c r="Z435" s="112">
        <v>124576</v>
      </c>
    </row>
    <row r="436" spans="1:26" ht="18" hidden="1" customHeight="1" x14ac:dyDescent="0.2">
      <c r="A436" s="46">
        <f t="shared" si="94"/>
        <v>43287</v>
      </c>
      <c r="B436" s="47" t="s">
        <v>100</v>
      </c>
      <c r="C436" s="48"/>
      <c r="D436" s="99">
        <f t="shared" si="88"/>
        <v>0</v>
      </c>
      <c r="E436" s="45">
        <f t="shared" si="89"/>
        <v>0</v>
      </c>
      <c r="F436" s="45">
        <f t="shared" si="91"/>
        <v>0</v>
      </c>
      <c r="G436" s="79">
        <f t="shared" si="92"/>
        <v>0</v>
      </c>
      <c r="H436" s="77">
        <v>4161</v>
      </c>
      <c r="I436" s="77">
        <v>774</v>
      </c>
      <c r="J436" s="80">
        <f t="shared" si="95"/>
        <v>4935</v>
      </c>
      <c r="K436" s="81">
        <v>0</v>
      </c>
      <c r="L436" s="43"/>
      <c r="N436" s="112">
        <v>93477</v>
      </c>
      <c r="O436" s="112">
        <v>62754</v>
      </c>
      <c r="P436" s="112">
        <v>3547</v>
      </c>
      <c r="Q436" s="112"/>
      <c r="R436" s="112">
        <v>21627</v>
      </c>
      <c r="S436" s="113">
        <v>3189.2</v>
      </c>
      <c r="T436" s="113"/>
      <c r="U436" s="113"/>
      <c r="V436" s="112">
        <v>148583</v>
      </c>
      <c r="W436" s="112">
        <v>103388</v>
      </c>
      <c r="X436" s="112">
        <v>71051</v>
      </c>
      <c r="Y436" s="112">
        <v>92778</v>
      </c>
      <c r="Z436" s="112">
        <v>124695</v>
      </c>
    </row>
    <row r="437" spans="1:26" ht="18" hidden="1" customHeight="1" x14ac:dyDescent="0.2">
      <c r="A437" s="46">
        <f t="shared" si="94"/>
        <v>43288</v>
      </c>
      <c r="B437" s="47" t="s">
        <v>101</v>
      </c>
      <c r="C437" s="48"/>
      <c r="D437" s="99">
        <f t="shared" si="88"/>
        <v>0</v>
      </c>
      <c r="E437" s="45">
        <f t="shared" si="89"/>
        <v>0</v>
      </c>
      <c r="F437" s="45">
        <f t="shared" si="91"/>
        <v>0</v>
      </c>
      <c r="G437" s="79">
        <f t="shared" si="92"/>
        <v>0</v>
      </c>
      <c r="H437" s="77">
        <v>0</v>
      </c>
      <c r="I437" s="77">
        <v>2726</v>
      </c>
      <c r="J437" s="80">
        <f t="shared" si="95"/>
        <v>2726</v>
      </c>
      <c r="K437" s="81">
        <v>0</v>
      </c>
      <c r="L437" s="43"/>
      <c r="N437" s="153">
        <v>93477</v>
      </c>
      <c r="O437" s="153">
        <v>62754</v>
      </c>
      <c r="P437" s="153">
        <v>3547</v>
      </c>
      <c r="Q437" s="153"/>
      <c r="R437" s="153">
        <v>21627</v>
      </c>
      <c r="S437" s="154">
        <v>3189.2</v>
      </c>
      <c r="T437" s="154"/>
      <c r="U437" s="154"/>
      <c r="V437" s="153">
        <v>148583</v>
      </c>
      <c r="W437" s="153">
        <v>103388</v>
      </c>
      <c r="X437" s="153">
        <v>71051</v>
      </c>
      <c r="Y437" s="153">
        <v>92778</v>
      </c>
      <c r="Z437" s="153">
        <v>124695</v>
      </c>
    </row>
    <row r="438" spans="1:26" ht="18" hidden="1" customHeight="1" x14ac:dyDescent="0.2">
      <c r="A438" s="46">
        <f t="shared" si="94"/>
        <v>43289</v>
      </c>
      <c r="B438" s="47" t="s">
        <v>95</v>
      </c>
      <c r="C438" s="48">
        <f t="shared" si="90"/>
        <v>3617</v>
      </c>
      <c r="D438" s="99">
        <f t="shared" si="88"/>
        <v>3088</v>
      </c>
      <c r="E438" s="45">
        <f t="shared" si="89"/>
        <v>2953.0000000000109</v>
      </c>
      <c r="F438" s="45">
        <f t="shared" si="91"/>
        <v>321</v>
      </c>
      <c r="G438" s="79">
        <f t="shared" si="92"/>
        <v>9979.0000000000109</v>
      </c>
      <c r="H438" s="77">
        <v>0</v>
      </c>
      <c r="I438" s="77">
        <v>2712</v>
      </c>
      <c r="J438" s="80">
        <f t="shared" si="95"/>
        <v>2712</v>
      </c>
      <c r="K438" s="81">
        <f>J438+J437+J436-G438</f>
        <v>393.99999999998909</v>
      </c>
      <c r="L438" s="43"/>
      <c r="N438" s="153">
        <v>93477</v>
      </c>
      <c r="O438" s="153">
        <v>62754</v>
      </c>
      <c r="P438" s="153">
        <v>3547</v>
      </c>
      <c r="Q438" s="153"/>
      <c r="R438" s="153">
        <v>21627</v>
      </c>
      <c r="S438" s="154">
        <v>3189.2</v>
      </c>
      <c r="T438" s="154"/>
      <c r="U438" s="154"/>
      <c r="V438" s="153">
        <v>148583</v>
      </c>
      <c r="W438" s="153">
        <v>103388</v>
      </c>
      <c r="X438" s="153">
        <v>71051</v>
      </c>
      <c r="Y438" s="153">
        <v>92778</v>
      </c>
      <c r="Z438" s="153">
        <v>124695</v>
      </c>
    </row>
    <row r="439" spans="1:26" ht="18" hidden="1" customHeight="1" x14ac:dyDescent="0.2">
      <c r="A439" s="46">
        <f t="shared" si="94"/>
        <v>43290</v>
      </c>
      <c r="B439" s="47" t="s">
        <v>96</v>
      </c>
      <c r="C439" s="48">
        <f t="shared" si="90"/>
        <v>2597</v>
      </c>
      <c r="D439" s="99">
        <f t="shared" si="88"/>
        <v>1192</v>
      </c>
      <c r="E439" s="45">
        <f t="shared" si="89"/>
        <v>1107</v>
      </c>
      <c r="F439" s="45">
        <f t="shared" si="91"/>
        <v>111</v>
      </c>
      <c r="G439" s="79">
        <f t="shared" si="92"/>
        <v>5007</v>
      </c>
      <c r="H439" s="77">
        <v>4375</v>
      </c>
      <c r="I439" s="77">
        <v>776</v>
      </c>
      <c r="J439" s="80">
        <f t="shared" si="95"/>
        <v>5151</v>
      </c>
      <c r="K439" s="81">
        <f t="shared" si="93"/>
        <v>144</v>
      </c>
      <c r="L439" s="43"/>
      <c r="N439" s="112">
        <v>93837</v>
      </c>
      <c r="O439" s="112">
        <v>62892</v>
      </c>
      <c r="P439" s="112">
        <v>3573</v>
      </c>
      <c r="Q439" s="112"/>
      <c r="R439" s="112">
        <v>21712</v>
      </c>
      <c r="S439" s="113">
        <v>3213.1</v>
      </c>
      <c r="T439" s="113"/>
      <c r="U439" s="113"/>
      <c r="V439" s="112">
        <v>149224</v>
      </c>
      <c r="W439" s="112">
        <v>103454</v>
      </c>
      <c r="X439" s="112">
        <v>71123</v>
      </c>
      <c r="Y439" s="112">
        <v>92778</v>
      </c>
      <c r="Z439" s="112">
        <v>125016</v>
      </c>
    </row>
    <row r="440" spans="1:26" ht="18" hidden="1" customHeight="1" x14ac:dyDescent="0.2">
      <c r="A440" s="46">
        <f t="shared" si="94"/>
        <v>43291</v>
      </c>
      <c r="B440" s="47" t="s">
        <v>97</v>
      </c>
      <c r="C440" s="48"/>
      <c r="D440" s="99">
        <f t="shared" si="88"/>
        <v>0</v>
      </c>
      <c r="E440" s="45">
        <f t="shared" si="89"/>
        <v>0</v>
      </c>
      <c r="F440" s="45">
        <f t="shared" si="91"/>
        <v>0</v>
      </c>
      <c r="G440" s="79">
        <f t="shared" si="92"/>
        <v>0</v>
      </c>
      <c r="H440" s="77">
        <v>3908</v>
      </c>
      <c r="I440" s="77">
        <v>828</v>
      </c>
      <c r="J440" s="80">
        <f t="shared" si="95"/>
        <v>4736</v>
      </c>
      <c r="K440" s="81">
        <v>0</v>
      </c>
      <c r="L440" s="43"/>
      <c r="N440" s="112">
        <v>93977</v>
      </c>
      <c r="O440" s="112">
        <v>62944</v>
      </c>
      <c r="P440" s="112">
        <v>3582</v>
      </c>
      <c r="Q440" s="112"/>
      <c r="R440" s="112">
        <v>21739</v>
      </c>
      <c r="S440" s="113">
        <v>3222.1</v>
      </c>
      <c r="T440" s="113"/>
      <c r="U440" s="113"/>
      <c r="V440" s="112">
        <v>149485</v>
      </c>
      <c r="W440" s="112">
        <v>103500</v>
      </c>
      <c r="X440" s="112">
        <v>71195</v>
      </c>
      <c r="Y440" s="112">
        <v>92778</v>
      </c>
      <c r="Z440" s="112">
        <v>125127</v>
      </c>
    </row>
    <row r="441" spans="1:26" ht="18" hidden="1" customHeight="1" x14ac:dyDescent="0.2">
      <c r="A441" s="46">
        <f t="shared" si="94"/>
        <v>43292</v>
      </c>
      <c r="B441" s="47" t="s">
        <v>98</v>
      </c>
      <c r="C441" s="48">
        <f t="shared" si="90"/>
        <v>2496</v>
      </c>
      <c r="D441" s="99">
        <f t="shared" si="88"/>
        <v>3320</v>
      </c>
      <c r="E441" s="45">
        <f t="shared" si="89"/>
        <v>2043.9999999999891</v>
      </c>
      <c r="F441" s="45">
        <f t="shared" si="91"/>
        <v>229</v>
      </c>
      <c r="G441" s="79">
        <f t="shared" si="92"/>
        <v>8088.9999999999891</v>
      </c>
      <c r="H441" s="77">
        <v>2066</v>
      </c>
      <c r="I441" s="77">
        <v>781</v>
      </c>
      <c r="J441" s="80">
        <f t="shared" si="95"/>
        <v>2847</v>
      </c>
      <c r="K441" s="81">
        <f>J441+J440-G441</f>
        <v>-505.99999999998909</v>
      </c>
      <c r="L441" s="43"/>
      <c r="N441" s="153">
        <v>93977</v>
      </c>
      <c r="O441" s="153">
        <v>62944</v>
      </c>
      <c r="P441" s="153">
        <v>3582</v>
      </c>
      <c r="Q441" s="153"/>
      <c r="R441" s="153">
        <v>21739</v>
      </c>
      <c r="S441" s="154">
        <v>3222.1</v>
      </c>
      <c r="T441" s="154"/>
      <c r="U441" s="154"/>
      <c r="V441" s="153">
        <v>149485</v>
      </c>
      <c r="W441" s="153">
        <v>103500</v>
      </c>
      <c r="X441" s="153">
        <v>71195</v>
      </c>
      <c r="Y441" s="153">
        <v>92778</v>
      </c>
      <c r="Z441" s="153">
        <v>125127</v>
      </c>
    </row>
    <row r="442" spans="1:26" ht="18" hidden="1" customHeight="1" x14ac:dyDescent="0.2">
      <c r="A442" s="46">
        <f t="shared" si="94"/>
        <v>43293</v>
      </c>
      <c r="B442" s="47" t="s">
        <v>99</v>
      </c>
      <c r="C442" s="48">
        <f t="shared" si="90"/>
        <v>2700</v>
      </c>
      <c r="D442" s="99">
        <f t="shared" si="88"/>
        <v>456</v>
      </c>
      <c r="E442" s="45">
        <f t="shared" si="89"/>
        <v>938.00000000004366</v>
      </c>
      <c r="F442" s="45">
        <f t="shared" si="91"/>
        <v>111</v>
      </c>
      <c r="G442" s="79">
        <f t="shared" si="92"/>
        <v>4205.0000000000437</v>
      </c>
      <c r="H442" s="77">
        <v>4267</v>
      </c>
      <c r="I442" s="77">
        <v>809</v>
      </c>
      <c r="J442" s="80">
        <f t="shared" si="95"/>
        <v>5076</v>
      </c>
      <c r="K442" s="81">
        <f t="shared" si="93"/>
        <v>870.99999999995634</v>
      </c>
      <c r="L442" s="43"/>
      <c r="N442" s="112">
        <v>94277</v>
      </c>
      <c r="O442" s="112">
        <v>63055</v>
      </c>
      <c r="P442" s="112">
        <v>3697</v>
      </c>
      <c r="Q442" s="112"/>
      <c r="R442" s="112">
        <v>21791</v>
      </c>
      <c r="S442" s="113">
        <v>3238.7</v>
      </c>
      <c r="T442" s="113"/>
      <c r="U442" s="113"/>
      <c r="V442" s="112">
        <v>149953</v>
      </c>
      <c r="W442" s="112">
        <v>103545</v>
      </c>
      <c r="X442" s="112">
        <v>71244</v>
      </c>
      <c r="Y442" s="112">
        <v>92778</v>
      </c>
      <c r="Z442" s="112">
        <v>125356</v>
      </c>
    </row>
    <row r="443" spans="1:26" ht="18" hidden="1" customHeight="1" x14ac:dyDescent="0.2">
      <c r="A443" s="46">
        <f t="shared" si="94"/>
        <v>43294</v>
      </c>
      <c r="B443" s="47" t="s">
        <v>100</v>
      </c>
      <c r="C443" s="48"/>
      <c r="D443" s="99">
        <f t="shared" si="88"/>
        <v>0</v>
      </c>
      <c r="E443" s="45">
        <f t="shared" si="89"/>
        <v>0</v>
      </c>
      <c r="F443" s="45">
        <f t="shared" si="91"/>
        <v>0</v>
      </c>
      <c r="G443" s="79">
        <f t="shared" si="92"/>
        <v>0</v>
      </c>
      <c r="H443" s="77">
        <v>4492</v>
      </c>
      <c r="I443" s="77">
        <v>873</v>
      </c>
      <c r="J443" s="80">
        <f t="shared" si="95"/>
        <v>5365</v>
      </c>
      <c r="K443" s="81"/>
      <c r="L443" s="43"/>
      <c r="N443" s="112">
        <v>94417</v>
      </c>
      <c r="O443" s="112">
        <v>63107</v>
      </c>
      <c r="P443" s="112">
        <v>3614</v>
      </c>
      <c r="Q443" s="112"/>
      <c r="R443" s="112">
        <v>21817</v>
      </c>
      <c r="S443" s="113">
        <v>3246.3</v>
      </c>
      <c r="T443" s="113"/>
      <c r="U443" s="113"/>
      <c r="V443" s="112">
        <v>150213</v>
      </c>
      <c r="W443" s="112">
        <v>103598</v>
      </c>
      <c r="X443" s="112">
        <v>71306</v>
      </c>
      <c r="Y443" s="112">
        <v>92778</v>
      </c>
      <c r="Z443" s="112">
        <v>125467</v>
      </c>
    </row>
    <row r="444" spans="1:26" ht="18" hidden="1" customHeight="1" x14ac:dyDescent="0.2">
      <c r="A444" s="46">
        <f t="shared" si="94"/>
        <v>43295</v>
      </c>
      <c r="B444" s="56" t="s">
        <v>103</v>
      </c>
      <c r="C444" s="48"/>
      <c r="D444" s="99">
        <f t="shared" si="88"/>
        <v>0</v>
      </c>
      <c r="E444" s="45">
        <f t="shared" si="89"/>
        <v>0</v>
      </c>
      <c r="F444" s="45">
        <f t="shared" si="91"/>
        <v>0</v>
      </c>
      <c r="G444" s="79">
        <f t="shared" si="92"/>
        <v>0</v>
      </c>
      <c r="H444" s="77">
        <v>0</v>
      </c>
      <c r="I444" s="77">
        <v>2698</v>
      </c>
      <c r="J444" s="80">
        <f t="shared" si="95"/>
        <v>2698</v>
      </c>
      <c r="K444" s="81"/>
      <c r="L444" s="43"/>
      <c r="N444" s="153">
        <v>94417</v>
      </c>
      <c r="O444" s="153">
        <v>63107</v>
      </c>
      <c r="P444" s="153">
        <v>3614</v>
      </c>
      <c r="Q444" s="153"/>
      <c r="R444" s="153">
        <v>21817</v>
      </c>
      <c r="S444" s="154">
        <v>3246.3</v>
      </c>
      <c r="T444" s="154"/>
      <c r="U444" s="154"/>
      <c r="V444" s="153">
        <v>150213</v>
      </c>
      <c r="W444" s="153">
        <v>103598</v>
      </c>
      <c r="X444" s="153">
        <v>71306</v>
      </c>
      <c r="Y444" s="153">
        <v>92778</v>
      </c>
      <c r="Z444" s="153">
        <v>125467</v>
      </c>
    </row>
    <row r="445" spans="1:26" ht="18" hidden="1" customHeight="1" x14ac:dyDescent="0.2">
      <c r="A445" s="46">
        <f t="shared" si="94"/>
        <v>43296</v>
      </c>
      <c r="B445" s="56" t="s">
        <v>104</v>
      </c>
      <c r="C445" s="48">
        <f t="shared" si="90"/>
        <v>3930</v>
      </c>
      <c r="D445" s="99">
        <f t="shared" si="88"/>
        <v>3056</v>
      </c>
      <c r="E445" s="45">
        <f t="shared" si="89"/>
        <v>3152.9999999999891</v>
      </c>
      <c r="F445" s="45">
        <f t="shared" si="91"/>
        <v>322</v>
      </c>
      <c r="G445" s="79">
        <f t="shared" si="92"/>
        <v>10460.999999999989</v>
      </c>
      <c r="H445" s="77">
        <v>0</v>
      </c>
      <c r="I445" s="77">
        <v>2936</v>
      </c>
      <c r="J445" s="80">
        <f t="shared" si="95"/>
        <v>2936</v>
      </c>
      <c r="K445" s="81">
        <f>J445+J444+J443-G445</f>
        <v>538.00000000001091</v>
      </c>
      <c r="L445" s="43"/>
      <c r="N445" s="153">
        <v>94417</v>
      </c>
      <c r="O445" s="153">
        <v>63107</v>
      </c>
      <c r="P445" s="153">
        <v>3614</v>
      </c>
      <c r="Q445" s="153"/>
      <c r="R445" s="153">
        <v>21817</v>
      </c>
      <c r="S445" s="154">
        <v>3246.3</v>
      </c>
      <c r="T445" s="154"/>
      <c r="U445" s="154"/>
      <c r="V445" s="153">
        <v>150213</v>
      </c>
      <c r="W445" s="153">
        <v>103598</v>
      </c>
      <c r="X445" s="153">
        <v>71306</v>
      </c>
      <c r="Y445" s="153">
        <v>92778</v>
      </c>
      <c r="Z445" s="153">
        <v>125467</v>
      </c>
    </row>
    <row r="446" spans="1:26" ht="18" hidden="1" customHeight="1" x14ac:dyDescent="0.2">
      <c r="A446" s="46">
        <f t="shared" si="94"/>
        <v>43297</v>
      </c>
      <c r="B446" s="47" t="s">
        <v>96</v>
      </c>
      <c r="C446" s="48">
        <f t="shared" si="90"/>
        <v>2625</v>
      </c>
      <c r="D446" s="99">
        <f t="shared" si="88"/>
        <v>1280</v>
      </c>
      <c r="E446" s="45">
        <f t="shared" si="89"/>
        <v>987</v>
      </c>
      <c r="F446" s="45">
        <f t="shared" si="91"/>
        <v>103</v>
      </c>
      <c r="G446" s="79">
        <f t="shared" si="92"/>
        <v>4995</v>
      </c>
      <c r="H446" s="77">
        <v>4379</v>
      </c>
      <c r="I446" s="77">
        <v>771</v>
      </c>
      <c r="J446" s="80">
        <f t="shared" si="95"/>
        <v>5150</v>
      </c>
      <c r="K446" s="81">
        <f t="shared" si="93"/>
        <v>155</v>
      </c>
      <c r="L446" s="43"/>
      <c r="N446" s="112">
        <v>94777</v>
      </c>
      <c r="O446" s="112">
        <v>63247</v>
      </c>
      <c r="P446" s="112">
        <v>3636</v>
      </c>
      <c r="Q446" s="112"/>
      <c r="R446" s="112">
        <v>21898</v>
      </c>
      <c r="S446" s="113">
        <v>3271.9</v>
      </c>
      <c r="T446" s="113"/>
      <c r="U446" s="113"/>
      <c r="V446" s="112">
        <v>150835</v>
      </c>
      <c r="W446" s="112">
        <v>103671</v>
      </c>
      <c r="X446" s="112">
        <v>71387</v>
      </c>
      <c r="Y446" s="112">
        <v>92778</v>
      </c>
      <c r="Z446" s="112">
        <v>125789</v>
      </c>
    </row>
    <row r="447" spans="1:26" ht="18" hidden="1" customHeight="1" x14ac:dyDescent="0.2">
      <c r="A447" s="46">
        <f t="shared" si="94"/>
        <v>43298</v>
      </c>
      <c r="B447" s="47" t="s">
        <v>97</v>
      </c>
      <c r="C447" s="48">
        <f t="shared" si="90"/>
        <v>2716</v>
      </c>
      <c r="D447" s="99">
        <f t="shared" si="88"/>
        <v>1216</v>
      </c>
      <c r="E447" s="45">
        <f t="shared" si="89"/>
        <v>1022.9999999999673</v>
      </c>
      <c r="F447" s="45">
        <f t="shared" si="91"/>
        <v>75</v>
      </c>
      <c r="G447" s="79">
        <f t="shared" si="92"/>
        <v>5029.9999999999673</v>
      </c>
      <c r="H447" s="77">
        <v>4451</v>
      </c>
      <c r="I447" s="77">
        <v>748</v>
      </c>
      <c r="J447" s="80">
        <f t="shared" si="95"/>
        <v>5199</v>
      </c>
      <c r="K447" s="81">
        <f t="shared" si="93"/>
        <v>169.00000000003274</v>
      </c>
      <c r="L447" s="43"/>
      <c r="N447" s="112">
        <v>94927</v>
      </c>
      <c r="O447" s="112">
        <v>63296</v>
      </c>
      <c r="P447" s="112">
        <v>3646</v>
      </c>
      <c r="Q447" s="112"/>
      <c r="R447" s="112">
        <v>21925</v>
      </c>
      <c r="S447" s="113">
        <v>3279.9</v>
      </c>
      <c r="T447" s="113"/>
      <c r="U447" s="113"/>
      <c r="V447" s="112">
        <v>151084</v>
      </c>
      <c r="W447" s="112">
        <v>103719</v>
      </c>
      <c r="X447" s="112">
        <v>71457</v>
      </c>
      <c r="Y447" s="112">
        <v>92778</v>
      </c>
      <c r="Z447" s="112">
        <v>125892</v>
      </c>
    </row>
    <row r="448" spans="1:26" ht="18" hidden="1" customHeight="1" x14ac:dyDescent="0.2">
      <c r="A448" s="46">
        <f t="shared" si="94"/>
        <v>43299</v>
      </c>
      <c r="B448" s="47" t="s">
        <v>98</v>
      </c>
      <c r="C448" s="48">
        <f t="shared" si="90"/>
        <v>2632</v>
      </c>
      <c r="D448" s="99">
        <f t="shared" si="88"/>
        <v>1280</v>
      </c>
      <c r="E448" s="45">
        <f t="shared" si="89"/>
        <v>987</v>
      </c>
      <c r="F448" s="45">
        <f t="shared" si="91"/>
        <v>95</v>
      </c>
      <c r="G448" s="79">
        <f t="shared" si="92"/>
        <v>4994</v>
      </c>
      <c r="H448" s="77">
        <v>4240</v>
      </c>
      <c r="I448" s="77">
        <v>794</v>
      </c>
      <c r="J448" s="80">
        <f t="shared" si="95"/>
        <v>5034</v>
      </c>
      <c r="K448" s="81">
        <f t="shared" si="93"/>
        <v>40</v>
      </c>
      <c r="L448" s="43"/>
      <c r="N448" s="112">
        <v>95067</v>
      </c>
      <c r="O448" s="112">
        <v>63349</v>
      </c>
      <c r="P448" s="112">
        <v>3658</v>
      </c>
      <c r="Q448" s="112"/>
      <c r="R448" s="112">
        <v>21952</v>
      </c>
      <c r="S448" s="113">
        <v>3288.2</v>
      </c>
      <c r="T448" s="113"/>
      <c r="U448" s="113"/>
      <c r="V448" s="112">
        <v>151364</v>
      </c>
      <c r="W448" s="112">
        <v>103767</v>
      </c>
      <c r="X448" s="112">
        <v>71532</v>
      </c>
      <c r="Y448" s="112">
        <v>92778</v>
      </c>
      <c r="Z448" s="112">
        <v>125967</v>
      </c>
    </row>
    <row r="449" spans="1:27" ht="18" hidden="1" customHeight="1" x14ac:dyDescent="0.2">
      <c r="A449" s="46">
        <f t="shared" si="94"/>
        <v>43300</v>
      </c>
      <c r="B449" s="47" t="s">
        <v>99</v>
      </c>
      <c r="C449" s="48">
        <f t="shared" si="90"/>
        <v>2724</v>
      </c>
      <c r="D449" s="99">
        <f t="shared" si="88"/>
        <v>1216</v>
      </c>
      <c r="E449" s="45">
        <f t="shared" si="89"/>
        <v>939.00000000004366</v>
      </c>
      <c r="F449" s="45">
        <f t="shared" si="91"/>
        <v>114</v>
      </c>
      <c r="G449" s="79">
        <f t="shared" si="92"/>
        <v>4993.0000000000437</v>
      </c>
      <c r="H449" s="77">
        <v>4401</v>
      </c>
      <c r="I449" s="77">
        <v>825</v>
      </c>
      <c r="J449" s="80">
        <f t="shared" si="95"/>
        <v>5226</v>
      </c>
      <c r="K449" s="81">
        <f t="shared" si="93"/>
        <v>232.99999999995634</v>
      </c>
      <c r="L449" s="43"/>
      <c r="N449" s="112">
        <v>95217</v>
      </c>
      <c r="O449" s="112">
        <v>63404</v>
      </c>
      <c r="P449" s="112">
        <v>3668</v>
      </c>
      <c r="Q449" s="112"/>
      <c r="R449" s="112">
        <v>21979</v>
      </c>
      <c r="S449" s="113">
        <v>3296.2</v>
      </c>
      <c r="T449" s="113"/>
      <c r="U449" s="113"/>
      <c r="V449" s="112">
        <v>151640</v>
      </c>
      <c r="W449" s="112">
        <v>103814</v>
      </c>
      <c r="X449" s="112">
        <v>71603</v>
      </c>
      <c r="Y449" s="112">
        <v>92778</v>
      </c>
      <c r="Z449" s="112">
        <v>126062</v>
      </c>
    </row>
    <row r="450" spans="1:27" ht="18" hidden="1" customHeight="1" x14ac:dyDescent="0.2">
      <c r="A450" s="46">
        <f t="shared" si="94"/>
        <v>43301</v>
      </c>
      <c r="B450" s="47" t="s">
        <v>100</v>
      </c>
      <c r="C450" s="48"/>
      <c r="D450" s="99">
        <f t="shared" si="88"/>
        <v>0</v>
      </c>
      <c r="E450" s="45">
        <f t="shared" si="89"/>
        <v>0</v>
      </c>
      <c r="F450" s="45">
        <f t="shared" si="91"/>
        <v>0</v>
      </c>
      <c r="G450" s="79">
        <f t="shared" si="92"/>
        <v>0</v>
      </c>
      <c r="H450" s="77">
        <v>4306</v>
      </c>
      <c r="I450" s="77">
        <v>803</v>
      </c>
      <c r="J450" s="80">
        <f t="shared" si="95"/>
        <v>5109</v>
      </c>
      <c r="K450" s="81"/>
      <c r="L450" s="43"/>
      <c r="N450" s="112">
        <v>95357</v>
      </c>
      <c r="O450" s="112">
        <v>63459</v>
      </c>
      <c r="P450" s="112">
        <v>3680</v>
      </c>
      <c r="Q450" s="112"/>
      <c r="R450" s="112">
        <v>22006</v>
      </c>
      <c r="S450" s="113">
        <v>3303.8</v>
      </c>
      <c r="T450" s="113"/>
      <c r="U450" s="113"/>
      <c r="V450" s="112">
        <v>151924</v>
      </c>
      <c r="W450" s="112">
        <v>103861</v>
      </c>
      <c r="X450" s="112">
        <v>71681</v>
      </c>
      <c r="Y450" s="112">
        <v>92778</v>
      </c>
      <c r="Z450" s="112">
        <v>126176</v>
      </c>
    </row>
    <row r="451" spans="1:27" ht="18" hidden="1" customHeight="1" x14ac:dyDescent="0.2">
      <c r="A451" s="46">
        <f t="shared" si="94"/>
        <v>43302</v>
      </c>
      <c r="B451" s="47" t="s">
        <v>101</v>
      </c>
      <c r="C451" s="48"/>
      <c r="D451" s="99">
        <f t="shared" si="88"/>
        <v>0</v>
      </c>
      <c r="E451" s="45">
        <f t="shared" si="89"/>
        <v>0</v>
      </c>
      <c r="F451" s="45">
        <f t="shared" si="91"/>
        <v>0</v>
      </c>
      <c r="G451" s="79">
        <f t="shared" si="92"/>
        <v>0</v>
      </c>
      <c r="H451" s="77">
        <v>0</v>
      </c>
      <c r="I451" s="77">
        <v>3050</v>
      </c>
      <c r="J451" s="80">
        <f t="shared" si="95"/>
        <v>3050</v>
      </c>
      <c r="K451" s="81"/>
      <c r="L451" s="43"/>
      <c r="N451" s="153">
        <v>95357</v>
      </c>
      <c r="O451" s="153">
        <v>63459</v>
      </c>
      <c r="P451" s="153">
        <v>3680</v>
      </c>
      <c r="Q451" s="153"/>
      <c r="R451" s="153">
        <v>22006</v>
      </c>
      <c r="S451" s="154">
        <v>3303.8</v>
      </c>
      <c r="T451" s="154"/>
      <c r="U451" s="154"/>
      <c r="V451" s="153">
        <v>151924</v>
      </c>
      <c r="W451" s="153">
        <v>103861</v>
      </c>
      <c r="X451" s="153">
        <v>71681</v>
      </c>
      <c r="Y451" s="153">
        <v>92778</v>
      </c>
      <c r="Z451" s="153">
        <v>126176</v>
      </c>
    </row>
    <row r="452" spans="1:27" ht="18" hidden="1" customHeight="1" x14ac:dyDescent="0.2">
      <c r="A452" s="46">
        <f t="shared" si="94"/>
        <v>43303</v>
      </c>
      <c r="B452" s="47" t="s">
        <v>95</v>
      </c>
      <c r="C452" s="48">
        <f t="shared" si="90"/>
        <v>3664</v>
      </c>
      <c r="D452" s="99">
        <f t="shared" si="88"/>
        <v>3624</v>
      </c>
      <c r="E452" s="45">
        <f t="shared" si="89"/>
        <v>3236.9999999999673</v>
      </c>
      <c r="F452" s="45">
        <f t="shared" si="91"/>
        <v>315</v>
      </c>
      <c r="G452" s="79">
        <f t="shared" si="92"/>
        <v>10839.999999999967</v>
      </c>
      <c r="H452" s="77">
        <v>0</v>
      </c>
      <c r="I452" s="77">
        <v>3097</v>
      </c>
      <c r="J452" s="80">
        <f t="shared" si="95"/>
        <v>3097</v>
      </c>
      <c r="K452" s="81">
        <f>J451+J450+J452-G452</f>
        <v>416.00000000003274</v>
      </c>
      <c r="L452" s="43"/>
      <c r="N452" s="153">
        <v>95357</v>
      </c>
      <c r="O452" s="153">
        <v>63459</v>
      </c>
      <c r="P452" s="153">
        <v>3680</v>
      </c>
      <c r="Q452" s="153"/>
      <c r="R452" s="153">
        <v>22006</v>
      </c>
      <c r="S452" s="154">
        <v>3303.8</v>
      </c>
      <c r="T452" s="154"/>
      <c r="U452" s="154"/>
      <c r="V452" s="153">
        <v>151924</v>
      </c>
      <c r="W452" s="153">
        <v>103861</v>
      </c>
      <c r="X452" s="153">
        <v>71681</v>
      </c>
      <c r="Y452" s="153">
        <v>92778</v>
      </c>
      <c r="Z452" s="153">
        <v>126176</v>
      </c>
    </row>
    <row r="453" spans="1:27" ht="18" hidden="1" customHeight="1" x14ac:dyDescent="0.2">
      <c r="A453" s="46">
        <f t="shared" si="94"/>
        <v>43304</v>
      </c>
      <c r="B453" s="47" t="s">
        <v>96</v>
      </c>
      <c r="C453" s="48">
        <f t="shared" si="90"/>
        <v>2305</v>
      </c>
      <c r="D453" s="99">
        <f t="shared" si="88"/>
        <v>1312</v>
      </c>
      <c r="E453" s="45">
        <f t="shared" si="89"/>
        <v>985</v>
      </c>
      <c r="F453" s="45">
        <f t="shared" si="91"/>
        <v>93</v>
      </c>
      <c r="G453" s="79">
        <f t="shared" si="92"/>
        <v>4695</v>
      </c>
      <c r="H453" s="77">
        <v>3973</v>
      </c>
      <c r="I453" s="77">
        <v>809</v>
      </c>
      <c r="J453" s="80">
        <f t="shared" si="95"/>
        <v>4782</v>
      </c>
      <c r="K453" s="81">
        <f t="shared" si="93"/>
        <v>87</v>
      </c>
      <c r="L453" s="43"/>
      <c r="N453" s="112">
        <v>95787</v>
      </c>
      <c r="O453" s="112">
        <v>63621</v>
      </c>
      <c r="P453" s="112">
        <v>3703</v>
      </c>
      <c r="Q453" s="112"/>
      <c r="R453" s="112">
        <v>22087</v>
      </c>
      <c r="S453" s="113">
        <v>3330.1</v>
      </c>
      <c r="T453" s="113"/>
      <c r="U453" s="113"/>
      <c r="V453" s="112">
        <v>152584</v>
      </c>
      <c r="W453" s="112">
        <v>103929</v>
      </c>
      <c r="X453" s="112">
        <v>71750</v>
      </c>
      <c r="Y453" s="112">
        <v>92778</v>
      </c>
      <c r="Z453" s="112">
        <v>126491</v>
      </c>
    </row>
    <row r="454" spans="1:27" ht="18" hidden="1" customHeight="1" x14ac:dyDescent="0.2">
      <c r="A454" s="46">
        <f t="shared" si="94"/>
        <v>43305</v>
      </c>
      <c r="B454" s="47" t="s">
        <v>97</v>
      </c>
      <c r="C454" s="48">
        <f t="shared" si="90"/>
        <v>2246</v>
      </c>
      <c r="D454" s="99">
        <f t="shared" si="88"/>
        <v>1280</v>
      </c>
      <c r="E454" s="45">
        <f t="shared" si="89"/>
        <v>1041.0000000000109</v>
      </c>
      <c r="F454" s="45">
        <f t="shared" si="91"/>
        <v>111</v>
      </c>
      <c r="G454" s="79">
        <f t="shared" si="92"/>
        <v>4678.0000000000109</v>
      </c>
      <c r="H454" s="77">
        <v>4066</v>
      </c>
      <c r="I454" s="77">
        <v>847</v>
      </c>
      <c r="J454" s="80">
        <f t="shared" si="95"/>
        <v>4913</v>
      </c>
      <c r="K454" s="81">
        <f t="shared" si="93"/>
        <v>234.99999999998909</v>
      </c>
      <c r="L454" s="43"/>
      <c r="N454" s="112">
        <v>95937</v>
      </c>
      <c r="O454" s="112">
        <v>63677</v>
      </c>
      <c r="P454" s="112">
        <v>3717</v>
      </c>
      <c r="Q454" s="112"/>
      <c r="R454" s="112">
        <v>22112</v>
      </c>
      <c r="S454" s="113">
        <v>3338.1</v>
      </c>
      <c r="T454" s="113"/>
      <c r="U454" s="113"/>
      <c r="V454" s="112">
        <v>152849</v>
      </c>
      <c r="W454" s="112">
        <v>103971</v>
      </c>
      <c r="X454" s="112">
        <v>71808</v>
      </c>
      <c r="Y454" s="112">
        <v>92778</v>
      </c>
      <c r="Z454" s="112">
        <v>126584</v>
      </c>
    </row>
    <row r="455" spans="1:27" ht="18" hidden="1" customHeight="1" x14ac:dyDescent="0.2">
      <c r="A455" s="46">
        <f t="shared" si="94"/>
        <v>43306</v>
      </c>
      <c r="B455" s="47" t="s">
        <v>98</v>
      </c>
      <c r="C455" s="48">
        <f t="shared" si="90"/>
        <v>2795</v>
      </c>
      <c r="D455" s="99">
        <f t="shared" si="88"/>
        <v>2088</v>
      </c>
      <c r="E455" s="45">
        <f t="shared" si="89"/>
        <v>871.99999999998909</v>
      </c>
      <c r="F455" s="45">
        <f t="shared" si="91"/>
        <v>119</v>
      </c>
      <c r="G455" s="79">
        <f t="shared" si="92"/>
        <v>5873.9999999999891</v>
      </c>
      <c r="H455" s="77">
        <v>4355</v>
      </c>
      <c r="I455" s="77">
        <v>827</v>
      </c>
      <c r="J455" s="80">
        <f t="shared" si="95"/>
        <v>5182</v>
      </c>
      <c r="K455" s="81">
        <f t="shared" si="93"/>
        <v>-691.99999999998909</v>
      </c>
      <c r="L455" s="43"/>
      <c r="N455" s="112">
        <v>96087</v>
      </c>
      <c r="O455" s="112">
        <v>63734</v>
      </c>
      <c r="P455" s="112">
        <v>3727</v>
      </c>
      <c r="Q455" s="112"/>
      <c r="R455" s="112">
        <v>22145</v>
      </c>
      <c r="S455" s="113">
        <v>3346.5</v>
      </c>
      <c r="T455" s="113"/>
      <c r="U455" s="113"/>
      <c r="V455" s="112">
        <v>153119</v>
      </c>
      <c r="W455" s="112">
        <v>104011</v>
      </c>
      <c r="X455" s="112">
        <v>71866</v>
      </c>
      <c r="Y455" s="112">
        <v>92778</v>
      </c>
      <c r="Z455" s="112">
        <v>126695</v>
      </c>
    </row>
    <row r="456" spans="1:27" ht="18" hidden="1" customHeight="1" x14ac:dyDescent="0.2">
      <c r="A456" s="46">
        <f t="shared" si="94"/>
        <v>43307</v>
      </c>
      <c r="B456" s="47" t="s">
        <v>99</v>
      </c>
      <c r="C456" s="48">
        <f t="shared" si="90"/>
        <v>2336</v>
      </c>
      <c r="D456" s="99">
        <f t="shared" si="88"/>
        <v>1216</v>
      </c>
      <c r="E456" s="45">
        <f t="shared" si="89"/>
        <v>1022.0000000000218</v>
      </c>
      <c r="F456" s="45">
        <f t="shared" si="91"/>
        <v>117</v>
      </c>
      <c r="G456" s="79">
        <f t="shared" si="92"/>
        <v>4691.0000000000218</v>
      </c>
      <c r="H456" s="77">
        <v>4163</v>
      </c>
      <c r="I456" s="77">
        <v>920</v>
      </c>
      <c r="J456" s="80">
        <f t="shared" si="95"/>
        <v>5083</v>
      </c>
      <c r="K456" s="81">
        <f t="shared" si="93"/>
        <v>391.99999999997817</v>
      </c>
      <c r="L456" s="43"/>
      <c r="N456" s="112">
        <v>96337</v>
      </c>
      <c r="O456" s="112">
        <v>63789</v>
      </c>
      <c r="P456" s="112">
        <v>3738</v>
      </c>
      <c r="Q456" s="112"/>
      <c r="R456" s="112">
        <v>22165</v>
      </c>
      <c r="S456" s="113">
        <v>3353.6</v>
      </c>
      <c r="T456" s="113"/>
      <c r="U456" s="113"/>
      <c r="V456" s="112">
        <v>153398</v>
      </c>
      <c r="W456" s="112">
        <v>104063</v>
      </c>
      <c r="X456" s="112">
        <v>71937</v>
      </c>
      <c r="Y456" s="112">
        <v>92778</v>
      </c>
      <c r="Z456" s="112">
        <v>126814</v>
      </c>
    </row>
    <row r="457" spans="1:27" ht="18" hidden="1" customHeight="1" x14ac:dyDescent="0.2">
      <c r="A457" s="46">
        <f t="shared" si="94"/>
        <v>43308</v>
      </c>
      <c r="B457" s="47" t="s">
        <v>100</v>
      </c>
      <c r="C457" s="48"/>
      <c r="D457" s="99">
        <f t="shared" si="88"/>
        <v>0</v>
      </c>
      <c r="E457" s="45">
        <f t="shared" si="89"/>
        <v>0</v>
      </c>
      <c r="F457" s="45">
        <f t="shared" si="91"/>
        <v>0</v>
      </c>
      <c r="G457" s="79">
        <f t="shared" si="92"/>
        <v>0</v>
      </c>
      <c r="H457" s="77">
        <v>4341</v>
      </c>
      <c r="I457" s="77">
        <v>786</v>
      </c>
      <c r="J457" s="80">
        <f t="shared" si="95"/>
        <v>5127</v>
      </c>
      <c r="K457" s="81">
        <v>0</v>
      </c>
      <c r="L457" s="43"/>
      <c r="N457" s="112">
        <v>96477</v>
      </c>
      <c r="O457" s="112">
        <v>63840</v>
      </c>
      <c r="P457" s="112">
        <v>3750</v>
      </c>
      <c r="Q457" s="112"/>
      <c r="R457" s="112">
        <v>22191</v>
      </c>
      <c r="S457" s="113">
        <v>3361.9</v>
      </c>
      <c r="T457" s="113"/>
      <c r="U457" s="113"/>
      <c r="V457" s="112">
        <v>153670</v>
      </c>
      <c r="W457" s="112">
        <v>104108</v>
      </c>
      <c r="X457" s="112">
        <v>71989</v>
      </c>
      <c r="Y457" s="112">
        <v>92778</v>
      </c>
      <c r="Z457" s="112">
        <v>126931</v>
      </c>
    </row>
    <row r="458" spans="1:27" ht="18" hidden="1" customHeight="1" x14ac:dyDescent="0.2">
      <c r="A458" s="46">
        <f t="shared" si="94"/>
        <v>43309</v>
      </c>
      <c r="B458" s="47" t="s">
        <v>101</v>
      </c>
      <c r="C458" s="48"/>
      <c r="D458" s="99">
        <f t="shared" si="88"/>
        <v>0</v>
      </c>
      <c r="E458" s="45">
        <f t="shared" si="89"/>
        <v>0</v>
      </c>
      <c r="F458" s="45">
        <f t="shared" ref="F458:F521" si="96">(Z459-Z458)*1</f>
        <v>0</v>
      </c>
      <c r="G458" s="79">
        <f t="shared" ref="G458:G521" si="97">C458+D458+F458+E458</f>
        <v>0</v>
      </c>
      <c r="H458" s="77">
        <v>0</v>
      </c>
      <c r="I458" s="77">
        <v>1988</v>
      </c>
      <c r="J458" s="80">
        <f t="shared" si="95"/>
        <v>1988</v>
      </c>
      <c r="K458" s="81">
        <v>0</v>
      </c>
      <c r="L458" s="43"/>
      <c r="N458" s="153">
        <v>96477</v>
      </c>
      <c r="O458" s="153">
        <v>63840</v>
      </c>
      <c r="P458" s="153">
        <v>3750</v>
      </c>
      <c r="Q458" s="153"/>
      <c r="R458" s="153">
        <v>22191</v>
      </c>
      <c r="S458" s="154">
        <v>3361.9</v>
      </c>
      <c r="T458" s="154"/>
      <c r="U458" s="154"/>
      <c r="V458" s="153">
        <v>153670</v>
      </c>
      <c r="W458" s="153">
        <v>104108</v>
      </c>
      <c r="X458" s="153">
        <v>71989</v>
      </c>
      <c r="Y458" s="153">
        <v>92778</v>
      </c>
      <c r="Z458" s="153">
        <v>126931</v>
      </c>
    </row>
    <row r="459" spans="1:27" ht="18" hidden="1" customHeight="1" x14ac:dyDescent="0.2">
      <c r="A459" s="46">
        <f t="shared" si="94"/>
        <v>43310</v>
      </c>
      <c r="B459" s="47" t="s">
        <v>95</v>
      </c>
      <c r="C459" s="48">
        <f t="shared" ref="C459:C521" si="98">(V460-V459)*1+(W460-W459)*32+(X460-X459)*12+(Y460-Y459)*6</f>
        <v>3909</v>
      </c>
      <c r="D459" s="99">
        <f t="shared" si="88"/>
        <v>1016</v>
      </c>
      <c r="E459" s="45">
        <f t="shared" si="89"/>
        <v>3261</v>
      </c>
      <c r="F459" s="45">
        <f t="shared" si="96"/>
        <v>327</v>
      </c>
      <c r="G459" s="79">
        <f t="shared" si="97"/>
        <v>8513</v>
      </c>
      <c r="H459" s="77">
        <v>0</v>
      </c>
      <c r="I459" s="77">
        <v>2017</v>
      </c>
      <c r="J459" s="80">
        <f t="shared" si="95"/>
        <v>2017</v>
      </c>
      <c r="K459" s="81">
        <f>J459+J458+J457-G459</f>
        <v>619</v>
      </c>
      <c r="L459" s="43"/>
      <c r="N459" s="153">
        <v>96477</v>
      </c>
      <c r="O459" s="153">
        <v>63840</v>
      </c>
      <c r="P459" s="153">
        <v>3750</v>
      </c>
      <c r="Q459" s="153"/>
      <c r="R459" s="153">
        <v>22191</v>
      </c>
      <c r="S459" s="154">
        <v>3361.9</v>
      </c>
      <c r="T459" s="154"/>
      <c r="U459" s="154"/>
      <c r="V459" s="153">
        <v>153670</v>
      </c>
      <c r="W459" s="153">
        <v>104108</v>
      </c>
      <c r="X459" s="153">
        <v>71989</v>
      </c>
      <c r="Y459" s="153">
        <v>92778</v>
      </c>
      <c r="Z459" s="153">
        <v>126931</v>
      </c>
    </row>
    <row r="460" spans="1:27" ht="18" hidden="1" customHeight="1" x14ac:dyDescent="0.2">
      <c r="A460" s="46">
        <f t="shared" si="94"/>
        <v>43311</v>
      </c>
      <c r="B460" s="47" t="s">
        <v>96</v>
      </c>
      <c r="C460" s="48">
        <f>(V461-V460)*1+(W461-W460)*32+(X461-X460)*12+(Y461-Y460)*6</f>
        <v>0</v>
      </c>
      <c r="D460" s="99">
        <f t="shared" si="88"/>
        <v>0</v>
      </c>
      <c r="E460" s="45">
        <f t="shared" si="89"/>
        <v>0</v>
      </c>
      <c r="F460" s="45">
        <f>(Z461-Z460)*1</f>
        <v>0</v>
      </c>
      <c r="G460" s="79">
        <f>C460+D460+F460+E460</f>
        <v>0</v>
      </c>
      <c r="H460" s="77">
        <v>4440</v>
      </c>
      <c r="I460" s="77">
        <v>444</v>
      </c>
      <c r="J460" s="80">
        <f t="shared" si="95"/>
        <v>4884</v>
      </c>
      <c r="K460" s="81">
        <v>0</v>
      </c>
      <c r="L460" s="43"/>
      <c r="N460" s="112">
        <v>96587</v>
      </c>
      <c r="O460" s="112">
        <v>63863</v>
      </c>
      <c r="P460" s="112">
        <v>3767</v>
      </c>
      <c r="Q460" s="112"/>
      <c r="R460" s="112">
        <v>22272</v>
      </c>
      <c r="S460" s="113">
        <v>3388.4</v>
      </c>
      <c r="T460" s="113"/>
      <c r="U460" s="113"/>
      <c r="V460" s="112">
        <v>154355</v>
      </c>
      <c r="W460" s="112">
        <v>104178</v>
      </c>
      <c r="X460" s="112">
        <v>72071</v>
      </c>
      <c r="Y460" s="112">
        <v>92778</v>
      </c>
      <c r="Z460" s="112">
        <v>127258</v>
      </c>
    </row>
    <row r="461" spans="1:27" ht="18" hidden="1" customHeight="1" x14ac:dyDescent="0.2">
      <c r="A461" s="46">
        <f t="shared" si="94"/>
        <v>43312</v>
      </c>
      <c r="B461" s="47" t="s">
        <v>97</v>
      </c>
      <c r="C461" s="48">
        <f>(V462-V461)*1+(W462-W461)*32+(X462-X461)*12+(Y462-Y461)*6</f>
        <v>5425</v>
      </c>
      <c r="D461" s="99">
        <f t="shared" si="88"/>
        <v>1616</v>
      </c>
      <c r="E461" s="45">
        <f t="shared" si="89"/>
        <v>2034</v>
      </c>
      <c r="F461" s="45">
        <f>(Z462-Z461)*1</f>
        <v>236</v>
      </c>
      <c r="G461" s="79">
        <f>C461+D461+F461+E461</f>
        <v>9311</v>
      </c>
      <c r="H461" s="77">
        <v>4408</v>
      </c>
      <c r="I461" s="77">
        <v>774</v>
      </c>
      <c r="J461" s="80">
        <f t="shared" si="95"/>
        <v>5182</v>
      </c>
      <c r="K461" s="81">
        <f>J461+J460-G461</f>
        <v>755</v>
      </c>
      <c r="L461" s="43"/>
      <c r="N461" s="153">
        <v>96587</v>
      </c>
      <c r="O461" s="153">
        <v>63863</v>
      </c>
      <c r="P461" s="153">
        <v>3767</v>
      </c>
      <c r="Q461" s="153"/>
      <c r="R461" s="153">
        <v>22272</v>
      </c>
      <c r="S461" s="154">
        <v>3388.4</v>
      </c>
      <c r="T461" s="154"/>
      <c r="U461" s="154"/>
      <c r="V461" s="153">
        <v>154355</v>
      </c>
      <c r="W461" s="153">
        <v>104178</v>
      </c>
      <c r="X461" s="153">
        <v>72071</v>
      </c>
      <c r="Y461" s="153">
        <v>92778</v>
      </c>
      <c r="Z461" s="153">
        <v>127258</v>
      </c>
    </row>
    <row r="462" spans="1:27" ht="18" hidden="1" customHeight="1" x14ac:dyDescent="0.2">
      <c r="A462" s="46">
        <f t="shared" si="94"/>
        <v>43313</v>
      </c>
      <c r="B462" s="47" t="s">
        <v>98</v>
      </c>
      <c r="C462" s="48">
        <f>(V463-V462)*1+(W463-W462)*32+(X463-X462)*12+(Y463-Y462)*6</f>
        <v>2658</v>
      </c>
      <c r="D462" s="99">
        <f t="shared" si="88"/>
        <v>1120</v>
      </c>
      <c r="E462" s="45">
        <f t="shared" si="89"/>
        <v>1021.9999999999673</v>
      </c>
      <c r="F462" s="45">
        <f>(Z463-Z462)*1</f>
        <v>132</v>
      </c>
      <c r="G462" s="79">
        <f>C462+D462+F462+E462</f>
        <v>4931.9999999999673</v>
      </c>
      <c r="H462" s="77">
        <v>4310</v>
      </c>
      <c r="I462" s="77">
        <v>831</v>
      </c>
      <c r="J462" s="80">
        <f>H462+I462</f>
        <v>5141</v>
      </c>
      <c r="K462" s="81">
        <f t="shared" ref="K462:K521" si="99">J462-G462</f>
        <v>209.00000000003274</v>
      </c>
      <c r="L462" s="43"/>
      <c r="N462" s="112">
        <v>96767</v>
      </c>
      <c r="O462" s="112">
        <v>63965</v>
      </c>
      <c r="P462" s="112">
        <v>3789</v>
      </c>
      <c r="Q462" s="112"/>
      <c r="R462" s="112">
        <v>22326</v>
      </c>
      <c r="S462" s="113">
        <v>3404.9</v>
      </c>
      <c r="T462" s="113"/>
      <c r="U462" s="113"/>
      <c r="V462" s="112">
        <v>154992</v>
      </c>
      <c r="W462" s="112">
        <v>104277</v>
      </c>
      <c r="X462" s="112">
        <v>72206</v>
      </c>
      <c r="Y462" s="112">
        <v>92778</v>
      </c>
      <c r="Z462" s="112">
        <v>127494</v>
      </c>
    </row>
    <row r="463" spans="1:27" ht="18" hidden="1" customHeight="1" x14ac:dyDescent="0.2">
      <c r="A463" s="46">
        <f t="shared" si="94"/>
        <v>43314</v>
      </c>
      <c r="B463" s="47" t="s">
        <v>99</v>
      </c>
      <c r="C463" s="48">
        <f t="shared" si="98"/>
        <v>2046</v>
      </c>
      <c r="D463" s="99">
        <f t="shared" si="88"/>
        <v>1224</v>
      </c>
      <c r="E463" s="45">
        <f t="shared" si="89"/>
        <v>966.00000000002183</v>
      </c>
      <c r="F463" s="45">
        <f t="shared" si="96"/>
        <v>136</v>
      </c>
      <c r="G463" s="79">
        <f t="shared" si="97"/>
        <v>4372.0000000000218</v>
      </c>
      <c r="H463" s="77">
        <v>3628</v>
      </c>
      <c r="I463" s="77">
        <v>796</v>
      </c>
      <c r="J463" s="80">
        <f t="shared" ref="J463:J492" si="100">H463+I463</f>
        <v>4424</v>
      </c>
      <c r="K463" s="81">
        <f t="shared" si="99"/>
        <v>51.999999999978172</v>
      </c>
      <c r="L463" s="43">
        <f t="shared" ref="L463:L483" si="101">(W463-W462)*32</f>
        <v>1568</v>
      </c>
      <c r="N463" s="112">
        <v>96897</v>
      </c>
      <c r="O463" s="112">
        <v>64018</v>
      </c>
      <c r="P463" s="112">
        <v>3799</v>
      </c>
      <c r="Q463" s="112"/>
      <c r="R463" s="112">
        <v>22352</v>
      </c>
      <c r="S463" s="113">
        <v>3413.2</v>
      </c>
      <c r="T463" s="113"/>
      <c r="U463" s="113"/>
      <c r="V463" s="112">
        <v>155302</v>
      </c>
      <c r="W463" s="112">
        <v>104326</v>
      </c>
      <c r="X463" s="112">
        <v>72271</v>
      </c>
      <c r="Y463" s="112">
        <v>92778</v>
      </c>
      <c r="Z463" s="112">
        <v>127626</v>
      </c>
      <c r="AA463" s="43">
        <f>(X463-X462)*12</f>
        <v>780</v>
      </c>
    </row>
    <row r="464" spans="1:27" ht="18" hidden="1" customHeight="1" x14ac:dyDescent="0.2">
      <c r="A464" s="46">
        <f t="shared" si="94"/>
        <v>43315</v>
      </c>
      <c r="B464" s="47" t="s">
        <v>100</v>
      </c>
      <c r="C464" s="48">
        <f t="shared" si="98"/>
        <v>0</v>
      </c>
      <c r="D464" s="99">
        <f t="shared" si="88"/>
        <v>0</v>
      </c>
      <c r="E464" s="45">
        <f t="shared" si="89"/>
        <v>0</v>
      </c>
      <c r="F464" s="45">
        <f t="shared" si="96"/>
        <v>0</v>
      </c>
      <c r="G464" s="79">
        <f t="shared" si="97"/>
        <v>0</v>
      </c>
      <c r="H464" s="77">
        <v>3849</v>
      </c>
      <c r="I464" s="77">
        <v>757</v>
      </c>
      <c r="J464" s="80">
        <f t="shared" si="100"/>
        <v>4606</v>
      </c>
      <c r="K464" s="81">
        <f t="shared" si="99"/>
        <v>4606</v>
      </c>
      <c r="L464" s="43">
        <f t="shared" si="101"/>
        <v>1216</v>
      </c>
      <c r="N464" s="112">
        <v>97037</v>
      </c>
      <c r="O464" s="112">
        <v>64065</v>
      </c>
      <c r="P464" s="112">
        <v>3812</v>
      </c>
      <c r="Q464" s="112"/>
      <c r="R464" s="112">
        <v>22382</v>
      </c>
      <c r="S464" s="113">
        <v>3421</v>
      </c>
      <c r="T464" s="113"/>
      <c r="U464" s="113"/>
      <c r="V464" s="112">
        <v>155604</v>
      </c>
      <c r="W464" s="112">
        <v>104364</v>
      </c>
      <c r="X464" s="112">
        <v>72315</v>
      </c>
      <c r="Y464" s="112">
        <v>92778</v>
      </c>
      <c r="Z464" s="112">
        <v>127762</v>
      </c>
      <c r="AA464" s="43">
        <f>(X464-X463)*12</f>
        <v>528</v>
      </c>
    </row>
    <row r="465" spans="1:27" ht="18" hidden="1" customHeight="1" x14ac:dyDescent="0.2">
      <c r="A465" s="46">
        <f t="shared" si="94"/>
        <v>43316</v>
      </c>
      <c r="B465" s="56" t="s">
        <v>103</v>
      </c>
      <c r="C465" s="48">
        <f t="shared" si="98"/>
        <v>0</v>
      </c>
      <c r="D465" s="99">
        <f t="shared" si="88"/>
        <v>0</v>
      </c>
      <c r="E465" s="45">
        <f t="shared" si="89"/>
        <v>0</v>
      </c>
      <c r="F465" s="45">
        <f t="shared" si="96"/>
        <v>0</v>
      </c>
      <c r="G465" s="79">
        <f t="shared" si="97"/>
        <v>0</v>
      </c>
      <c r="H465" s="77"/>
      <c r="I465" s="77">
        <v>3075</v>
      </c>
      <c r="J465" s="80">
        <f t="shared" si="100"/>
        <v>3075</v>
      </c>
      <c r="K465" s="81">
        <f t="shared" si="99"/>
        <v>3075</v>
      </c>
      <c r="L465" s="43">
        <f t="shared" si="101"/>
        <v>0</v>
      </c>
      <c r="N465" s="153">
        <v>97037</v>
      </c>
      <c r="O465" s="153">
        <v>64065</v>
      </c>
      <c r="P465" s="153">
        <v>3812</v>
      </c>
      <c r="Q465" s="153"/>
      <c r="R465" s="153">
        <v>22382</v>
      </c>
      <c r="S465" s="154">
        <v>3421</v>
      </c>
      <c r="T465" s="154"/>
      <c r="U465" s="154"/>
      <c r="V465" s="153">
        <v>155604</v>
      </c>
      <c r="W465" s="153">
        <v>104364</v>
      </c>
      <c r="X465" s="153">
        <v>72315</v>
      </c>
      <c r="Y465" s="153">
        <v>92778</v>
      </c>
      <c r="Z465" s="153">
        <v>127762</v>
      </c>
      <c r="AA465" s="43">
        <f t="shared" ref="AA465:AA470" si="102">(X465-X464)*12</f>
        <v>0</v>
      </c>
    </row>
    <row r="466" spans="1:27" ht="18" hidden="1" customHeight="1" x14ac:dyDescent="0.2">
      <c r="A466" s="46">
        <f t="shared" si="94"/>
        <v>43317</v>
      </c>
      <c r="B466" s="56" t="s">
        <v>104</v>
      </c>
      <c r="C466" s="48">
        <f t="shared" si="98"/>
        <v>3327</v>
      </c>
      <c r="D466" s="99">
        <f t="shared" si="88"/>
        <v>3232</v>
      </c>
      <c r="E466" s="45">
        <f t="shared" si="89"/>
        <v>3285.9999999999782</v>
      </c>
      <c r="F466" s="45">
        <f t="shared" si="96"/>
        <v>331</v>
      </c>
      <c r="G466" s="79">
        <f t="shared" si="97"/>
        <v>10175.999999999978</v>
      </c>
      <c r="H466" s="77"/>
      <c r="I466" s="77">
        <v>2974</v>
      </c>
      <c r="J466" s="80">
        <f t="shared" si="100"/>
        <v>2974</v>
      </c>
      <c r="K466" s="81">
        <f t="shared" si="99"/>
        <v>-7201.9999999999782</v>
      </c>
      <c r="L466" s="43">
        <f t="shared" si="101"/>
        <v>0</v>
      </c>
      <c r="N466" s="153">
        <v>97037</v>
      </c>
      <c r="O466" s="153">
        <v>64065</v>
      </c>
      <c r="P466" s="153">
        <v>3812</v>
      </c>
      <c r="Q466" s="153"/>
      <c r="R466" s="153">
        <v>22382</v>
      </c>
      <c r="S466" s="154">
        <v>3421</v>
      </c>
      <c r="T466" s="154"/>
      <c r="U466" s="154"/>
      <c r="V466" s="153">
        <v>155604</v>
      </c>
      <c r="W466" s="153">
        <v>104364</v>
      </c>
      <c r="X466" s="153">
        <v>72315</v>
      </c>
      <c r="Y466" s="153">
        <v>92778</v>
      </c>
      <c r="Z466" s="153">
        <v>127762</v>
      </c>
      <c r="AA466" s="43">
        <f t="shared" si="102"/>
        <v>0</v>
      </c>
    </row>
    <row r="467" spans="1:27" ht="18" hidden="1" customHeight="1" x14ac:dyDescent="0.2">
      <c r="A467" s="46">
        <f t="shared" si="94"/>
        <v>43318</v>
      </c>
      <c r="B467" s="56" t="s">
        <v>105</v>
      </c>
      <c r="C467" s="48">
        <f t="shared" si="98"/>
        <v>2521</v>
      </c>
      <c r="D467" s="99">
        <f t="shared" si="88"/>
        <v>1032</v>
      </c>
      <c r="E467" s="45">
        <f t="shared" si="89"/>
        <v>1233</v>
      </c>
      <c r="F467" s="45">
        <f t="shared" si="96"/>
        <v>130</v>
      </c>
      <c r="G467" s="79">
        <f t="shared" si="97"/>
        <v>4916</v>
      </c>
      <c r="H467" s="77">
        <v>4348</v>
      </c>
      <c r="I467" s="77">
        <v>752</v>
      </c>
      <c r="J467" s="80">
        <f t="shared" si="100"/>
        <v>5100</v>
      </c>
      <c r="K467" s="81">
        <f t="shared" si="99"/>
        <v>184</v>
      </c>
      <c r="L467" s="43">
        <f t="shared" si="101"/>
        <v>2048</v>
      </c>
      <c r="N467" s="112">
        <v>97417</v>
      </c>
      <c r="O467" s="112">
        <v>64209</v>
      </c>
      <c r="P467" s="112">
        <v>3836</v>
      </c>
      <c r="Q467" s="112"/>
      <c r="R467" s="112">
        <v>22464</v>
      </c>
      <c r="S467" s="113">
        <v>3447.7</v>
      </c>
      <c r="T467" s="113"/>
      <c r="U467" s="113"/>
      <c r="V467" s="112">
        <v>156319</v>
      </c>
      <c r="W467" s="112">
        <v>104428</v>
      </c>
      <c r="X467" s="112">
        <v>72362</v>
      </c>
      <c r="Y467" s="112">
        <v>92778</v>
      </c>
      <c r="Z467" s="112">
        <v>128093</v>
      </c>
      <c r="AA467" s="43">
        <f t="shared" si="102"/>
        <v>564</v>
      </c>
    </row>
    <row r="468" spans="1:27" ht="18" hidden="1" customHeight="1" x14ac:dyDescent="0.2">
      <c r="A468" s="46">
        <f t="shared" si="94"/>
        <v>43319</v>
      </c>
      <c r="B468" s="47" t="s">
        <v>97</v>
      </c>
      <c r="C468" s="48">
        <f t="shared" si="98"/>
        <v>2668</v>
      </c>
      <c r="D468" s="99">
        <f t="shared" si="88"/>
        <v>1008</v>
      </c>
      <c r="E468" s="45">
        <f t="shared" si="89"/>
        <v>1065.0000000000327</v>
      </c>
      <c r="F468" s="45">
        <f t="shared" si="96"/>
        <v>120</v>
      </c>
      <c r="G468" s="79">
        <f t="shared" si="97"/>
        <v>4861.0000000000327</v>
      </c>
      <c r="H468" s="77">
        <v>4297</v>
      </c>
      <c r="I468" s="77">
        <v>776</v>
      </c>
      <c r="J468" s="80">
        <f t="shared" si="100"/>
        <v>5073</v>
      </c>
      <c r="K468" s="81">
        <f t="shared" si="99"/>
        <v>211.99999999996726</v>
      </c>
      <c r="L468" s="43">
        <f t="shared" si="101"/>
        <v>1440</v>
      </c>
      <c r="N468" s="112">
        <v>97537</v>
      </c>
      <c r="O468" s="112">
        <v>64254</v>
      </c>
      <c r="P468" s="112">
        <v>3845</v>
      </c>
      <c r="Q468" s="112"/>
      <c r="R468" s="112">
        <v>22497</v>
      </c>
      <c r="S468" s="113">
        <v>3457.7</v>
      </c>
      <c r="T468" s="113"/>
      <c r="U468" s="113"/>
      <c r="V468" s="112">
        <v>156644</v>
      </c>
      <c r="W468" s="112">
        <v>104473</v>
      </c>
      <c r="X468" s="112">
        <v>72425</v>
      </c>
      <c r="Y468" s="112">
        <v>92778</v>
      </c>
      <c r="Z468" s="112">
        <v>128223</v>
      </c>
      <c r="AA468" s="43">
        <f t="shared" si="102"/>
        <v>756</v>
      </c>
    </row>
    <row r="469" spans="1:27" ht="18" hidden="1" customHeight="1" x14ac:dyDescent="0.2">
      <c r="A469" s="46">
        <f t="shared" si="94"/>
        <v>43320</v>
      </c>
      <c r="B469" s="47" t="s">
        <v>98</v>
      </c>
      <c r="C469" s="48">
        <f t="shared" si="98"/>
        <v>2419</v>
      </c>
      <c r="D469" s="99">
        <f t="shared" ref="D469:D532" si="103">(N470-N469)*8+(P470-P469)*8</f>
        <v>1032</v>
      </c>
      <c r="E469" s="45">
        <f t="shared" ref="E469:E532" si="104">(R470-R469)*1+(S470-S469)*120</f>
        <v>962.99999999996726</v>
      </c>
      <c r="F469" s="45">
        <f t="shared" si="96"/>
        <v>131</v>
      </c>
      <c r="G469" s="79">
        <f t="shared" si="97"/>
        <v>4544.9999999999673</v>
      </c>
      <c r="H469" s="77">
        <v>3992</v>
      </c>
      <c r="I469" s="77">
        <v>756</v>
      </c>
      <c r="J469" s="80">
        <f t="shared" si="100"/>
        <v>4748</v>
      </c>
      <c r="K469" s="81">
        <f t="shared" si="99"/>
        <v>203.00000000003274</v>
      </c>
      <c r="L469" s="43">
        <f t="shared" si="101"/>
        <v>1504</v>
      </c>
      <c r="N469" s="112">
        <v>97647</v>
      </c>
      <c r="O469" s="112">
        <v>64299</v>
      </c>
      <c r="P469" s="112">
        <v>3861</v>
      </c>
      <c r="Q469" s="112"/>
      <c r="R469" s="112">
        <v>22518</v>
      </c>
      <c r="S469" s="113">
        <v>3466.4</v>
      </c>
      <c r="T469" s="113"/>
      <c r="U469" s="113"/>
      <c r="V469" s="112">
        <v>156956</v>
      </c>
      <c r="W469" s="112">
        <v>104520</v>
      </c>
      <c r="X469" s="112">
        <v>72496</v>
      </c>
      <c r="Y469" s="112">
        <v>92778</v>
      </c>
      <c r="Z469" s="112">
        <v>128343</v>
      </c>
      <c r="AA469" s="43">
        <f t="shared" si="102"/>
        <v>852</v>
      </c>
    </row>
    <row r="470" spans="1:27" ht="18" hidden="1" customHeight="1" x14ac:dyDescent="0.2">
      <c r="A470" s="46">
        <f t="shared" si="94"/>
        <v>43321</v>
      </c>
      <c r="B470" s="47" t="s">
        <v>99</v>
      </c>
      <c r="C470" s="48">
        <f t="shared" si="98"/>
        <v>2491</v>
      </c>
      <c r="D470" s="99">
        <f t="shared" si="103"/>
        <v>1120</v>
      </c>
      <c r="E470" s="45">
        <f t="shared" si="104"/>
        <v>1084.0000000000218</v>
      </c>
      <c r="F470" s="45">
        <f t="shared" si="96"/>
        <v>123</v>
      </c>
      <c r="G470" s="79">
        <f t="shared" si="97"/>
        <v>4818.0000000000218</v>
      </c>
      <c r="H470" s="77">
        <v>4093</v>
      </c>
      <c r="I470" s="77">
        <v>758</v>
      </c>
      <c r="J470" s="80">
        <f t="shared" si="100"/>
        <v>4851</v>
      </c>
      <c r="K470" s="81">
        <f t="shared" si="99"/>
        <v>32.999999999978172</v>
      </c>
      <c r="L470" s="43">
        <f t="shared" si="101"/>
        <v>1408</v>
      </c>
      <c r="N470" s="112">
        <v>97767</v>
      </c>
      <c r="O470" s="112">
        <v>64345</v>
      </c>
      <c r="P470" s="112">
        <v>3870</v>
      </c>
      <c r="Q470" s="112"/>
      <c r="R470" s="112">
        <v>22545</v>
      </c>
      <c r="S470" s="113">
        <v>3474.2</v>
      </c>
      <c r="T470" s="113"/>
      <c r="U470" s="113"/>
      <c r="V470" s="112">
        <v>157247</v>
      </c>
      <c r="W470" s="112">
        <v>104564</v>
      </c>
      <c r="X470" s="112">
        <v>72556</v>
      </c>
      <c r="Y470" s="112">
        <v>92778</v>
      </c>
      <c r="Z470" s="112">
        <v>128474</v>
      </c>
      <c r="AA470" s="43">
        <f t="shared" si="102"/>
        <v>720</v>
      </c>
    </row>
    <row r="471" spans="1:27" ht="18" hidden="1" customHeight="1" x14ac:dyDescent="0.2">
      <c r="A471" s="46">
        <f t="shared" si="94"/>
        <v>43322</v>
      </c>
      <c r="B471" s="47" t="s">
        <v>100</v>
      </c>
      <c r="C471" s="48">
        <f t="shared" si="98"/>
        <v>0</v>
      </c>
      <c r="D471" s="99">
        <f t="shared" si="103"/>
        <v>0</v>
      </c>
      <c r="E471" s="45">
        <f t="shared" si="104"/>
        <v>0</v>
      </c>
      <c r="F471" s="45">
        <f t="shared" si="96"/>
        <v>0</v>
      </c>
      <c r="G471" s="79">
        <f t="shared" si="97"/>
        <v>0</v>
      </c>
      <c r="H471" s="77">
        <v>3980</v>
      </c>
      <c r="I471" s="77">
        <v>819</v>
      </c>
      <c r="J471" s="80">
        <f t="shared" si="100"/>
        <v>4799</v>
      </c>
      <c r="K471" s="81">
        <f t="shared" si="99"/>
        <v>4799</v>
      </c>
      <c r="L471" s="43">
        <f t="shared" si="101"/>
        <v>1408</v>
      </c>
      <c r="N471" s="112">
        <v>97897</v>
      </c>
      <c r="O471" s="112">
        <v>64392</v>
      </c>
      <c r="P471" s="112">
        <v>3880</v>
      </c>
      <c r="Q471" s="112"/>
      <c r="R471" s="112">
        <v>22573</v>
      </c>
      <c r="S471" s="113">
        <v>3483</v>
      </c>
      <c r="T471" s="113"/>
      <c r="U471" s="113"/>
      <c r="V471" s="112">
        <v>157562</v>
      </c>
      <c r="W471" s="112">
        <v>104608</v>
      </c>
      <c r="X471" s="112">
        <v>72620</v>
      </c>
      <c r="Y471" s="112">
        <v>92778</v>
      </c>
      <c r="Z471" s="112">
        <v>128597</v>
      </c>
      <c r="AA471" s="43">
        <f>(X471-X470)*12</f>
        <v>768</v>
      </c>
    </row>
    <row r="472" spans="1:27" ht="18" hidden="1" customHeight="1" x14ac:dyDescent="0.2">
      <c r="A472" s="46">
        <f t="shared" si="94"/>
        <v>43323</v>
      </c>
      <c r="B472" s="47" t="s">
        <v>101</v>
      </c>
      <c r="C472" s="48">
        <f t="shared" si="98"/>
        <v>0</v>
      </c>
      <c r="D472" s="99">
        <f t="shared" si="103"/>
        <v>0</v>
      </c>
      <c r="E472" s="45">
        <f t="shared" si="104"/>
        <v>0</v>
      </c>
      <c r="F472" s="45">
        <f t="shared" si="96"/>
        <v>0</v>
      </c>
      <c r="G472" s="79">
        <f t="shared" si="97"/>
        <v>0</v>
      </c>
      <c r="H472" s="77"/>
      <c r="I472" s="77">
        <v>2770</v>
      </c>
      <c r="J472" s="80">
        <f t="shared" si="100"/>
        <v>2770</v>
      </c>
      <c r="K472" s="81">
        <f t="shared" si="99"/>
        <v>2770</v>
      </c>
      <c r="L472" s="43">
        <f t="shared" si="101"/>
        <v>0</v>
      </c>
      <c r="N472" s="153">
        <v>97897</v>
      </c>
      <c r="O472" s="153">
        <v>64392</v>
      </c>
      <c r="P472" s="153">
        <v>3880</v>
      </c>
      <c r="Q472" s="153"/>
      <c r="R472" s="153">
        <v>22573</v>
      </c>
      <c r="S472" s="154">
        <v>3483</v>
      </c>
      <c r="T472" s="154"/>
      <c r="U472" s="154"/>
      <c r="V472" s="153">
        <v>157562</v>
      </c>
      <c r="W472" s="153">
        <v>104608</v>
      </c>
      <c r="X472" s="153">
        <v>72620</v>
      </c>
      <c r="Y472" s="153">
        <v>92778</v>
      </c>
      <c r="Z472" s="153">
        <v>128597</v>
      </c>
      <c r="AA472" s="43">
        <f>(X472-X471)*12</f>
        <v>0</v>
      </c>
    </row>
    <row r="473" spans="1:27" ht="18" hidden="1" customHeight="1" x14ac:dyDescent="0.2">
      <c r="A473" s="46">
        <f t="shared" si="94"/>
        <v>43324</v>
      </c>
      <c r="B473" s="47" t="s">
        <v>95</v>
      </c>
      <c r="C473" s="48">
        <f t="shared" si="98"/>
        <v>3289</v>
      </c>
      <c r="D473" s="99">
        <f t="shared" si="103"/>
        <v>3688</v>
      </c>
      <c r="E473" s="45">
        <f t="shared" si="104"/>
        <v>3227.9999999999782</v>
      </c>
      <c r="F473" s="45">
        <f t="shared" si="96"/>
        <v>377</v>
      </c>
      <c r="G473" s="79">
        <f t="shared" si="97"/>
        <v>10581.999999999978</v>
      </c>
      <c r="H473" s="77"/>
      <c r="I473" s="77">
        <v>2735</v>
      </c>
      <c r="J473" s="80">
        <f t="shared" si="100"/>
        <v>2735</v>
      </c>
      <c r="K473" s="81">
        <f t="shared" si="99"/>
        <v>-7846.9999999999782</v>
      </c>
      <c r="L473" s="43">
        <f t="shared" si="101"/>
        <v>0</v>
      </c>
      <c r="N473" s="153">
        <v>97897</v>
      </c>
      <c r="O473" s="153">
        <v>64392</v>
      </c>
      <c r="P473" s="153">
        <v>3880</v>
      </c>
      <c r="Q473" s="153"/>
      <c r="R473" s="153">
        <v>22573</v>
      </c>
      <c r="S473" s="154">
        <v>3483</v>
      </c>
      <c r="T473" s="154"/>
      <c r="U473" s="154"/>
      <c r="V473" s="153">
        <v>157562</v>
      </c>
      <c r="W473" s="153">
        <v>104608</v>
      </c>
      <c r="X473" s="153">
        <v>72620</v>
      </c>
      <c r="Y473" s="153">
        <v>92778</v>
      </c>
      <c r="Z473" s="153">
        <v>128597</v>
      </c>
      <c r="AA473" s="43">
        <f>(X473-X472)*12</f>
        <v>0</v>
      </c>
    </row>
    <row r="474" spans="1:27" ht="18" hidden="1" customHeight="1" x14ac:dyDescent="0.2">
      <c r="A474" s="46">
        <f t="shared" si="94"/>
        <v>43325</v>
      </c>
      <c r="B474" s="47" t="s">
        <v>96</v>
      </c>
      <c r="C474" s="48">
        <f t="shared" si="98"/>
        <v>2429</v>
      </c>
      <c r="D474" s="99">
        <f t="shared" si="103"/>
        <v>1200</v>
      </c>
      <c r="E474" s="45">
        <f t="shared" si="104"/>
        <v>1120.0000000000437</v>
      </c>
      <c r="F474" s="45">
        <f t="shared" si="96"/>
        <v>94</v>
      </c>
      <c r="G474" s="79">
        <f t="shared" si="97"/>
        <v>4843.0000000000437</v>
      </c>
      <c r="H474" s="77">
        <v>4184</v>
      </c>
      <c r="I474" s="77">
        <v>745</v>
      </c>
      <c r="J474" s="80">
        <f t="shared" si="100"/>
        <v>4929</v>
      </c>
      <c r="K474" s="81">
        <f t="shared" si="99"/>
        <v>85.999999999956344</v>
      </c>
      <c r="L474" s="43">
        <f t="shared" si="101"/>
        <v>1984</v>
      </c>
      <c r="N474" s="112">
        <v>98337</v>
      </c>
      <c r="O474" s="112">
        <v>64520</v>
      </c>
      <c r="P474" s="112">
        <v>3901</v>
      </c>
      <c r="Q474" s="112"/>
      <c r="R474" s="112">
        <v>22657</v>
      </c>
      <c r="S474" s="113">
        <v>3509.2</v>
      </c>
      <c r="T474" s="113"/>
      <c r="U474" s="113"/>
      <c r="V474" s="112">
        <v>158171</v>
      </c>
      <c r="W474" s="112">
        <v>104670</v>
      </c>
      <c r="X474" s="112">
        <v>72678</v>
      </c>
      <c r="Y474" s="112">
        <v>92778</v>
      </c>
      <c r="Z474" s="112">
        <v>128974</v>
      </c>
      <c r="AA474" s="43">
        <f>(X474-X473)*12</f>
        <v>696</v>
      </c>
    </row>
    <row r="475" spans="1:27" ht="18" hidden="1" customHeight="1" x14ac:dyDescent="0.2">
      <c r="A475" s="46">
        <f t="shared" si="94"/>
        <v>43326</v>
      </c>
      <c r="B475" s="47" t="s">
        <v>97</v>
      </c>
      <c r="C475" s="48">
        <f t="shared" si="98"/>
        <v>2115</v>
      </c>
      <c r="D475" s="99">
        <f t="shared" si="103"/>
        <v>432</v>
      </c>
      <c r="E475" s="45">
        <f t="shared" si="104"/>
        <v>1022.9999999999673</v>
      </c>
      <c r="F475" s="45">
        <f t="shared" si="96"/>
        <v>91</v>
      </c>
      <c r="G475" s="79">
        <f t="shared" si="97"/>
        <v>3660.9999999999673</v>
      </c>
      <c r="H475" s="77">
        <v>3822</v>
      </c>
      <c r="I475" s="77">
        <v>771</v>
      </c>
      <c r="J475" s="80">
        <f t="shared" si="100"/>
        <v>4593</v>
      </c>
      <c r="K475" s="81">
        <f t="shared" si="99"/>
        <v>932.00000000003274</v>
      </c>
      <c r="L475" s="43">
        <f t="shared" si="101"/>
        <v>1376</v>
      </c>
      <c r="N475" s="112">
        <v>98477</v>
      </c>
      <c r="O475" s="112">
        <v>64571</v>
      </c>
      <c r="P475" s="112">
        <v>3911</v>
      </c>
      <c r="Q475" s="112"/>
      <c r="R475" s="112">
        <v>22685</v>
      </c>
      <c r="S475" s="113">
        <v>3518.3</v>
      </c>
      <c r="T475" s="113"/>
      <c r="U475" s="113"/>
      <c r="V475" s="112">
        <v>158456</v>
      </c>
      <c r="W475" s="112">
        <v>104713</v>
      </c>
      <c r="X475" s="112">
        <v>72742</v>
      </c>
      <c r="Y475" s="112">
        <v>92778</v>
      </c>
      <c r="Z475" s="112">
        <v>129068</v>
      </c>
      <c r="AA475" s="43">
        <f t="shared" ref="AA475:AA480" si="105">(X475-X474)*12</f>
        <v>768</v>
      </c>
    </row>
    <row r="476" spans="1:27" ht="18" hidden="1" customHeight="1" x14ac:dyDescent="0.2">
      <c r="A476" s="46">
        <f t="shared" si="94"/>
        <v>43327</v>
      </c>
      <c r="B476" s="47" t="s">
        <v>98</v>
      </c>
      <c r="C476" s="48">
        <f t="shared" si="98"/>
        <v>2027</v>
      </c>
      <c r="D476" s="99">
        <f t="shared" si="103"/>
        <v>320</v>
      </c>
      <c r="E476" s="45">
        <f t="shared" si="104"/>
        <v>1036.0000000000109</v>
      </c>
      <c r="F476" s="45">
        <f t="shared" si="96"/>
        <v>129</v>
      </c>
      <c r="G476" s="79">
        <f t="shared" si="97"/>
        <v>3512.0000000000109</v>
      </c>
      <c r="H476" s="77">
        <v>3781</v>
      </c>
      <c r="I476" s="77">
        <v>776</v>
      </c>
      <c r="J476" s="80">
        <f t="shared" si="100"/>
        <v>4557</v>
      </c>
      <c r="K476" s="81">
        <f t="shared" si="99"/>
        <v>1044.9999999999891</v>
      </c>
      <c r="L476" s="43">
        <f t="shared" si="101"/>
        <v>1248</v>
      </c>
      <c r="N476" s="112">
        <v>98517</v>
      </c>
      <c r="O476" s="112">
        <v>64622</v>
      </c>
      <c r="P476" s="112">
        <v>3925</v>
      </c>
      <c r="Q476" s="112"/>
      <c r="R476" s="112">
        <v>22712</v>
      </c>
      <c r="S476" s="113">
        <v>3526.6</v>
      </c>
      <c r="T476" s="113"/>
      <c r="U476" s="113"/>
      <c r="V476" s="112">
        <v>158711</v>
      </c>
      <c r="W476" s="112">
        <v>104752</v>
      </c>
      <c r="X476" s="112">
        <v>72793</v>
      </c>
      <c r="Y476" s="112">
        <v>92778</v>
      </c>
      <c r="Z476" s="112">
        <v>129159</v>
      </c>
      <c r="AA476" s="43">
        <f t="shared" si="105"/>
        <v>612</v>
      </c>
    </row>
    <row r="477" spans="1:27" ht="18" hidden="1" customHeight="1" x14ac:dyDescent="0.2">
      <c r="A477" s="46">
        <f t="shared" si="94"/>
        <v>43328</v>
      </c>
      <c r="B477" s="47" t="s">
        <v>99</v>
      </c>
      <c r="C477" s="48">
        <f t="shared" si="98"/>
        <v>2076</v>
      </c>
      <c r="D477" s="99">
        <f t="shared" si="103"/>
        <v>1280</v>
      </c>
      <c r="E477" s="45">
        <f t="shared" si="104"/>
        <v>1035.0000000000109</v>
      </c>
      <c r="F477" s="45">
        <f t="shared" si="96"/>
        <v>105</v>
      </c>
      <c r="G477" s="79">
        <f t="shared" si="97"/>
        <v>4496.0000000000109</v>
      </c>
      <c r="H477" s="77">
        <v>3803</v>
      </c>
      <c r="I477" s="77">
        <v>771</v>
      </c>
      <c r="J477" s="80">
        <f t="shared" si="100"/>
        <v>4574</v>
      </c>
      <c r="K477" s="81">
        <f t="shared" si="99"/>
        <v>77.999999999989086</v>
      </c>
      <c r="L477" s="43">
        <f t="shared" si="101"/>
        <v>1184</v>
      </c>
      <c r="N477" s="112">
        <v>98657</v>
      </c>
      <c r="O477" s="112">
        <v>64676</v>
      </c>
      <c r="P477" s="112">
        <v>3825</v>
      </c>
      <c r="Q477" s="112"/>
      <c r="R477" s="112">
        <v>22740</v>
      </c>
      <c r="S477" s="113">
        <v>3535</v>
      </c>
      <c r="T477" s="113"/>
      <c r="U477" s="113"/>
      <c r="V477" s="112">
        <v>158978</v>
      </c>
      <c r="W477" s="112">
        <v>104789</v>
      </c>
      <c r="X477" s="112">
        <v>72841</v>
      </c>
      <c r="Y477" s="112">
        <v>92778</v>
      </c>
      <c r="Z477" s="112">
        <v>129288</v>
      </c>
      <c r="AA477" s="43">
        <f t="shared" si="105"/>
        <v>576</v>
      </c>
    </row>
    <row r="478" spans="1:27" ht="18" hidden="1" customHeight="1" x14ac:dyDescent="0.2">
      <c r="A478" s="46">
        <f t="shared" ref="A478:A541" si="106">A477+1</f>
        <v>43329</v>
      </c>
      <c r="B478" s="47" t="s">
        <v>100</v>
      </c>
      <c r="C478" s="48">
        <f t="shared" si="98"/>
        <v>0</v>
      </c>
      <c r="D478" s="99">
        <f t="shared" si="103"/>
        <v>0</v>
      </c>
      <c r="E478" s="45">
        <f t="shared" si="104"/>
        <v>0</v>
      </c>
      <c r="F478" s="45">
        <f t="shared" si="96"/>
        <v>0</v>
      </c>
      <c r="G478" s="79">
        <f t="shared" si="97"/>
        <v>0</v>
      </c>
      <c r="H478" s="77">
        <v>4015</v>
      </c>
      <c r="I478" s="77">
        <v>820</v>
      </c>
      <c r="J478" s="80">
        <f t="shared" si="100"/>
        <v>4835</v>
      </c>
      <c r="K478" s="81">
        <f t="shared" si="99"/>
        <v>4835</v>
      </c>
      <c r="L478" s="43">
        <f t="shared" si="101"/>
        <v>1216</v>
      </c>
      <c r="N478" s="112">
        <v>98697</v>
      </c>
      <c r="O478" s="112">
        <v>64728</v>
      </c>
      <c r="P478" s="112">
        <v>3945</v>
      </c>
      <c r="Q478" s="112"/>
      <c r="R478" s="112">
        <v>22767</v>
      </c>
      <c r="S478" s="113">
        <v>3543.4</v>
      </c>
      <c r="T478" s="113"/>
      <c r="U478" s="113"/>
      <c r="V478" s="112">
        <v>159250</v>
      </c>
      <c r="W478" s="112">
        <v>104827</v>
      </c>
      <c r="X478" s="112">
        <v>72890</v>
      </c>
      <c r="Y478" s="112">
        <v>92778</v>
      </c>
      <c r="Z478" s="112">
        <v>129393</v>
      </c>
      <c r="AA478" s="43">
        <f t="shared" si="105"/>
        <v>588</v>
      </c>
    </row>
    <row r="479" spans="1:27" ht="18" hidden="1" customHeight="1" x14ac:dyDescent="0.2">
      <c r="A479" s="46">
        <f t="shared" si="106"/>
        <v>43330</v>
      </c>
      <c r="B479" s="47" t="s">
        <v>101</v>
      </c>
      <c r="C479" s="48">
        <f t="shared" si="98"/>
        <v>0</v>
      </c>
      <c r="D479" s="99">
        <f t="shared" si="103"/>
        <v>0</v>
      </c>
      <c r="E479" s="45">
        <f t="shared" si="104"/>
        <v>0</v>
      </c>
      <c r="F479" s="45">
        <f t="shared" si="96"/>
        <v>0</v>
      </c>
      <c r="G479" s="79">
        <f t="shared" si="97"/>
        <v>0</v>
      </c>
      <c r="H479" s="77"/>
      <c r="I479" s="77">
        <f>689+2069</f>
        <v>2758</v>
      </c>
      <c r="J479" s="80">
        <f t="shared" si="100"/>
        <v>2758</v>
      </c>
      <c r="K479" s="81">
        <f t="shared" si="99"/>
        <v>2758</v>
      </c>
      <c r="L479" s="43">
        <f t="shared" si="101"/>
        <v>0</v>
      </c>
      <c r="N479" s="153">
        <v>98697</v>
      </c>
      <c r="O479" s="153">
        <v>64728</v>
      </c>
      <c r="P479" s="153">
        <v>3945</v>
      </c>
      <c r="Q479" s="153"/>
      <c r="R479" s="153">
        <v>22767</v>
      </c>
      <c r="S479" s="154">
        <v>3543.4</v>
      </c>
      <c r="T479" s="154"/>
      <c r="U479" s="154"/>
      <c r="V479" s="153">
        <v>159250</v>
      </c>
      <c r="W479" s="153">
        <v>104827</v>
      </c>
      <c r="X479" s="153">
        <v>72890</v>
      </c>
      <c r="Y479" s="153">
        <v>92778</v>
      </c>
      <c r="Z479" s="153">
        <v>129393</v>
      </c>
      <c r="AA479" s="43">
        <f t="shared" si="105"/>
        <v>0</v>
      </c>
    </row>
    <row r="480" spans="1:27" ht="18" hidden="1" customHeight="1" x14ac:dyDescent="0.2">
      <c r="A480" s="46">
        <f t="shared" si="106"/>
        <v>43331</v>
      </c>
      <c r="B480" s="47" t="s">
        <v>95</v>
      </c>
      <c r="C480" s="48">
        <f t="shared" si="98"/>
        <v>3886</v>
      </c>
      <c r="D480" s="99">
        <f t="shared" si="103"/>
        <v>4776</v>
      </c>
      <c r="E480" s="45">
        <f t="shared" si="104"/>
        <v>3278.9999999999891</v>
      </c>
      <c r="F480" s="45">
        <f t="shared" si="96"/>
        <v>279</v>
      </c>
      <c r="G480" s="79">
        <f t="shared" si="97"/>
        <v>12219.999999999989</v>
      </c>
      <c r="H480" s="77"/>
      <c r="I480" s="77">
        <v>2943</v>
      </c>
      <c r="J480" s="80">
        <f t="shared" si="100"/>
        <v>2943</v>
      </c>
      <c r="K480" s="81">
        <f t="shared" si="99"/>
        <v>-9276.9999999999891</v>
      </c>
      <c r="L480" s="43">
        <f t="shared" si="101"/>
        <v>0</v>
      </c>
      <c r="N480" s="153">
        <v>98697</v>
      </c>
      <c r="O480" s="153">
        <v>64728</v>
      </c>
      <c r="P480" s="153">
        <v>3945</v>
      </c>
      <c r="Q480" s="153"/>
      <c r="R480" s="153">
        <v>22767</v>
      </c>
      <c r="S480" s="154">
        <v>3543.4</v>
      </c>
      <c r="T480" s="154"/>
      <c r="U480" s="154"/>
      <c r="V480" s="153">
        <v>159250</v>
      </c>
      <c r="W480" s="153">
        <v>104827</v>
      </c>
      <c r="X480" s="153">
        <v>72890</v>
      </c>
      <c r="Y480" s="153">
        <v>92778</v>
      </c>
      <c r="Z480" s="153">
        <v>129393</v>
      </c>
      <c r="AA480" s="43">
        <f t="shared" si="105"/>
        <v>0</v>
      </c>
    </row>
    <row r="481" spans="1:27" ht="18" hidden="1" customHeight="1" x14ac:dyDescent="0.2">
      <c r="A481" s="46">
        <f t="shared" si="106"/>
        <v>43332</v>
      </c>
      <c r="B481" s="47" t="s">
        <v>96</v>
      </c>
      <c r="C481" s="48">
        <f t="shared" si="98"/>
        <v>1550</v>
      </c>
      <c r="D481" s="99">
        <f t="shared" si="103"/>
        <v>1912</v>
      </c>
      <c r="E481" s="45">
        <f t="shared" si="104"/>
        <v>1179.9999999999891</v>
      </c>
      <c r="F481" s="45">
        <f t="shared" si="96"/>
        <v>110</v>
      </c>
      <c r="G481" s="79">
        <f t="shared" si="97"/>
        <v>4751.9999999999891</v>
      </c>
      <c r="H481" s="77">
        <v>3862</v>
      </c>
      <c r="I481" s="77">
        <v>808</v>
      </c>
      <c r="J481" s="80">
        <f t="shared" si="100"/>
        <v>4670</v>
      </c>
      <c r="K481" s="81">
        <f t="shared" si="99"/>
        <v>-81.999999999989086</v>
      </c>
      <c r="L481" s="43">
        <f t="shared" si="101"/>
        <v>2080</v>
      </c>
      <c r="N481" s="112">
        <v>99267</v>
      </c>
      <c r="O481" s="112">
        <v>64866</v>
      </c>
      <c r="P481" s="112">
        <v>3972</v>
      </c>
      <c r="Q481" s="112"/>
      <c r="R481" s="112">
        <v>22854</v>
      </c>
      <c r="S481" s="113">
        <v>3570</v>
      </c>
      <c r="T481" s="113"/>
      <c r="U481" s="113"/>
      <c r="V481" s="112">
        <v>159928</v>
      </c>
      <c r="W481" s="112">
        <v>104892</v>
      </c>
      <c r="X481" s="112">
        <v>72984</v>
      </c>
      <c r="Y481" s="112">
        <v>92778</v>
      </c>
      <c r="Z481" s="112">
        <v>129672</v>
      </c>
      <c r="AA481" s="43">
        <f>(X481-X480)*12</f>
        <v>1128</v>
      </c>
    </row>
    <row r="482" spans="1:27" ht="18" hidden="1" customHeight="1" x14ac:dyDescent="0.2">
      <c r="A482" s="46">
        <f t="shared" si="106"/>
        <v>43333</v>
      </c>
      <c r="B482" s="47" t="s">
        <v>97</v>
      </c>
      <c r="C482" s="48">
        <f t="shared" si="98"/>
        <v>1694</v>
      </c>
      <c r="D482" s="99">
        <f t="shared" si="103"/>
        <v>400</v>
      </c>
      <c r="E482" s="45">
        <f t="shared" si="104"/>
        <v>1010.0000000000327</v>
      </c>
      <c r="F482" s="45">
        <f t="shared" si="96"/>
        <v>114</v>
      </c>
      <c r="G482" s="79">
        <f t="shared" si="97"/>
        <v>3218.0000000000327</v>
      </c>
      <c r="H482" s="77">
        <v>3346</v>
      </c>
      <c r="I482" s="77">
        <v>777</v>
      </c>
      <c r="J482" s="80">
        <f t="shared" si="100"/>
        <v>4123</v>
      </c>
      <c r="K482" s="81">
        <f t="shared" si="99"/>
        <v>904.99999999996726</v>
      </c>
      <c r="L482" s="43">
        <f t="shared" si="101"/>
        <v>1184</v>
      </c>
      <c r="N482" s="112">
        <v>99497</v>
      </c>
      <c r="O482" s="112">
        <v>64917</v>
      </c>
      <c r="P482" s="112">
        <v>3981</v>
      </c>
      <c r="Q482" s="112"/>
      <c r="R482" s="112">
        <v>22882</v>
      </c>
      <c r="S482" s="113">
        <v>3579.6</v>
      </c>
      <c r="T482" s="113"/>
      <c r="U482" s="113"/>
      <c r="V482" s="112">
        <v>160222</v>
      </c>
      <c r="W482" s="112">
        <v>104929</v>
      </c>
      <c r="X482" s="112">
        <v>72990</v>
      </c>
      <c r="Y482" s="112">
        <v>92778</v>
      </c>
      <c r="Z482" s="112">
        <v>129782</v>
      </c>
      <c r="AA482" s="43">
        <f>(X482-X481)*12</f>
        <v>72</v>
      </c>
    </row>
    <row r="483" spans="1:27" ht="18" hidden="1" customHeight="1" x14ac:dyDescent="0.2">
      <c r="A483" s="46">
        <f t="shared" si="106"/>
        <v>43334</v>
      </c>
      <c r="B483" s="47" t="s">
        <v>98</v>
      </c>
      <c r="C483" s="48">
        <f t="shared" si="98"/>
        <v>1660</v>
      </c>
      <c r="D483" s="99">
        <f t="shared" si="103"/>
        <v>320</v>
      </c>
      <c r="E483" s="45">
        <f t="shared" si="104"/>
        <v>1071.9999999999782</v>
      </c>
      <c r="F483" s="45">
        <f t="shared" si="96"/>
        <v>103</v>
      </c>
      <c r="G483" s="79">
        <f t="shared" si="97"/>
        <v>3154.9999999999782</v>
      </c>
      <c r="H483" s="77">
        <v>3365</v>
      </c>
      <c r="I483" s="77">
        <v>783</v>
      </c>
      <c r="J483" s="80">
        <f t="shared" si="100"/>
        <v>4148</v>
      </c>
      <c r="K483" s="81">
        <f t="shared" si="99"/>
        <v>993.00000000002183</v>
      </c>
      <c r="L483" s="43">
        <f t="shared" si="101"/>
        <v>1088</v>
      </c>
      <c r="N483" s="112">
        <v>99537</v>
      </c>
      <c r="O483" s="112">
        <v>64966</v>
      </c>
      <c r="P483" s="112">
        <v>3991</v>
      </c>
      <c r="Q483" s="112"/>
      <c r="R483" s="112">
        <v>22908</v>
      </c>
      <c r="S483" s="113">
        <v>3587.8</v>
      </c>
      <c r="T483" s="113"/>
      <c r="U483" s="113"/>
      <c r="V483" s="112">
        <v>160528</v>
      </c>
      <c r="W483" s="112">
        <v>104963</v>
      </c>
      <c r="X483" s="112">
        <v>73015</v>
      </c>
      <c r="Y483" s="112">
        <v>92778</v>
      </c>
      <c r="Z483" s="112">
        <v>129896</v>
      </c>
      <c r="AA483" s="43">
        <f>(X483-X482)*12</f>
        <v>300</v>
      </c>
    </row>
    <row r="484" spans="1:27" ht="18" hidden="1" customHeight="1" x14ac:dyDescent="0.2">
      <c r="A484" s="46">
        <f t="shared" si="106"/>
        <v>43335</v>
      </c>
      <c r="B484" s="47" t="s">
        <v>99</v>
      </c>
      <c r="C484" s="48">
        <f t="shared" si="98"/>
        <v>0</v>
      </c>
      <c r="D484" s="99">
        <f t="shared" si="103"/>
        <v>0</v>
      </c>
      <c r="E484" s="45">
        <f t="shared" si="104"/>
        <v>0</v>
      </c>
      <c r="F484" s="45">
        <f t="shared" si="96"/>
        <v>0</v>
      </c>
      <c r="G484" s="79">
        <f t="shared" si="97"/>
        <v>0</v>
      </c>
      <c r="H484" s="77">
        <v>3946</v>
      </c>
      <c r="I484" s="77">
        <v>759</v>
      </c>
      <c r="J484" s="80">
        <f t="shared" si="100"/>
        <v>4705</v>
      </c>
      <c r="K484" s="81">
        <f t="shared" si="99"/>
        <v>4705</v>
      </c>
      <c r="L484" s="43"/>
      <c r="N484" s="112">
        <v>99567</v>
      </c>
      <c r="O484" s="112">
        <v>65016</v>
      </c>
      <c r="P484" s="112">
        <v>4001</v>
      </c>
      <c r="Q484" s="112"/>
      <c r="R484" s="112">
        <v>22936</v>
      </c>
      <c r="S484" s="113">
        <v>3596.5</v>
      </c>
      <c r="T484" s="113"/>
      <c r="U484" s="113"/>
      <c r="V484" s="112">
        <v>160792</v>
      </c>
      <c r="W484" s="112">
        <v>104998</v>
      </c>
      <c r="X484" s="112">
        <v>73038</v>
      </c>
      <c r="Y484" s="112">
        <v>92778</v>
      </c>
      <c r="Z484" s="112">
        <v>129999</v>
      </c>
    </row>
    <row r="485" spans="1:27" ht="18" hidden="1" customHeight="1" x14ac:dyDescent="0.2">
      <c r="A485" s="46">
        <f t="shared" si="106"/>
        <v>43336</v>
      </c>
      <c r="B485" s="47" t="s">
        <v>100</v>
      </c>
      <c r="C485" s="48">
        <f t="shared" si="98"/>
        <v>0</v>
      </c>
      <c r="D485" s="99">
        <f t="shared" si="103"/>
        <v>0</v>
      </c>
      <c r="E485" s="45">
        <f t="shared" si="104"/>
        <v>0</v>
      </c>
      <c r="F485" s="45">
        <f t="shared" si="96"/>
        <v>0</v>
      </c>
      <c r="G485" s="79">
        <f t="shared" si="97"/>
        <v>0</v>
      </c>
      <c r="H485" s="77">
        <v>3764</v>
      </c>
      <c r="I485" s="77">
        <v>810</v>
      </c>
      <c r="J485" s="80">
        <f t="shared" si="100"/>
        <v>4574</v>
      </c>
      <c r="K485" s="81">
        <f t="shared" si="99"/>
        <v>4574</v>
      </c>
      <c r="L485" s="43"/>
      <c r="N485" s="153">
        <v>99567</v>
      </c>
      <c r="O485" s="153">
        <v>65016</v>
      </c>
      <c r="P485" s="153">
        <v>4001</v>
      </c>
      <c r="Q485" s="153"/>
      <c r="R485" s="153">
        <v>22936</v>
      </c>
      <c r="S485" s="154">
        <v>3596.5</v>
      </c>
      <c r="T485" s="154"/>
      <c r="U485" s="154"/>
      <c r="V485" s="153">
        <v>160792</v>
      </c>
      <c r="W485" s="153">
        <v>104998</v>
      </c>
      <c r="X485" s="153">
        <v>73038</v>
      </c>
      <c r="Y485" s="153">
        <v>92778</v>
      </c>
      <c r="Z485" s="153">
        <v>129999</v>
      </c>
    </row>
    <row r="486" spans="1:27" ht="18" hidden="1" customHeight="1" x14ac:dyDescent="0.2">
      <c r="A486" s="46">
        <f t="shared" si="106"/>
        <v>43337</v>
      </c>
      <c r="B486" s="47" t="s">
        <v>101</v>
      </c>
      <c r="C486" s="48">
        <f t="shared" si="98"/>
        <v>0</v>
      </c>
      <c r="D486" s="99">
        <f t="shared" si="103"/>
        <v>0</v>
      </c>
      <c r="E486" s="45">
        <f t="shared" si="104"/>
        <v>0</v>
      </c>
      <c r="F486" s="45">
        <f t="shared" si="96"/>
        <v>0</v>
      </c>
      <c r="G486" s="79">
        <f t="shared" si="97"/>
        <v>0</v>
      </c>
      <c r="H486" s="77"/>
      <c r="I486" s="77">
        <v>2980</v>
      </c>
      <c r="J486" s="80">
        <f t="shared" si="100"/>
        <v>2980</v>
      </c>
      <c r="K486" s="81">
        <f t="shared" si="99"/>
        <v>2980</v>
      </c>
      <c r="L486" s="43"/>
      <c r="N486" s="153">
        <v>99567</v>
      </c>
      <c r="O486" s="153">
        <v>65016</v>
      </c>
      <c r="P486" s="153">
        <v>4001</v>
      </c>
      <c r="Q486" s="153"/>
      <c r="R486" s="153">
        <v>22936</v>
      </c>
      <c r="S486" s="154">
        <v>3596.5</v>
      </c>
      <c r="T486" s="154"/>
      <c r="U486" s="154"/>
      <c r="V486" s="153">
        <v>160792</v>
      </c>
      <c r="W486" s="153">
        <v>104998</v>
      </c>
      <c r="X486" s="153">
        <v>73038</v>
      </c>
      <c r="Y486" s="153">
        <v>92778</v>
      </c>
      <c r="Z486" s="153">
        <v>129999</v>
      </c>
    </row>
    <row r="487" spans="1:27" ht="18" hidden="1" customHeight="1" x14ac:dyDescent="0.2">
      <c r="A487" s="46">
        <f t="shared" si="106"/>
        <v>43338</v>
      </c>
      <c r="B487" s="47" t="s">
        <v>95</v>
      </c>
      <c r="C487" s="48">
        <f t="shared" si="98"/>
        <v>5379</v>
      </c>
      <c r="D487" s="99">
        <f t="shared" si="103"/>
        <v>5352</v>
      </c>
      <c r="E487" s="45">
        <f t="shared" si="104"/>
        <v>4157.9999999999891</v>
      </c>
      <c r="F487" s="45">
        <f t="shared" si="96"/>
        <v>406</v>
      </c>
      <c r="G487" s="79">
        <f t="shared" si="97"/>
        <v>15294.999999999989</v>
      </c>
      <c r="H487" s="77"/>
      <c r="I487" s="77">
        <v>2803</v>
      </c>
      <c r="J487" s="80">
        <f t="shared" si="100"/>
        <v>2803</v>
      </c>
      <c r="K487" s="81">
        <f t="shared" si="99"/>
        <v>-12491.999999999989</v>
      </c>
      <c r="L487" s="43"/>
      <c r="N487" s="153">
        <v>99567</v>
      </c>
      <c r="O487" s="153">
        <v>65016</v>
      </c>
      <c r="P487" s="153">
        <v>4001</v>
      </c>
      <c r="Q487" s="153"/>
      <c r="R487" s="153">
        <v>22936</v>
      </c>
      <c r="S487" s="154">
        <v>3596.5</v>
      </c>
      <c r="T487" s="154"/>
      <c r="U487" s="154"/>
      <c r="V487" s="153">
        <v>160792</v>
      </c>
      <c r="W487" s="153">
        <v>104998</v>
      </c>
      <c r="X487" s="153">
        <v>73038</v>
      </c>
      <c r="Y487" s="153">
        <v>92778</v>
      </c>
      <c r="Z487" s="153">
        <v>129999</v>
      </c>
    </row>
    <row r="488" spans="1:27" ht="18" hidden="1" customHeight="1" x14ac:dyDescent="0.2">
      <c r="A488" s="46">
        <f t="shared" si="106"/>
        <v>43339</v>
      </c>
      <c r="B488" s="47" t="s">
        <v>96</v>
      </c>
      <c r="C488" s="48">
        <f t="shared" si="98"/>
        <v>1964</v>
      </c>
      <c r="D488" s="99">
        <f t="shared" si="103"/>
        <v>1272</v>
      </c>
      <c r="E488" s="45">
        <f t="shared" si="104"/>
        <v>1156.0000000000109</v>
      </c>
      <c r="F488" s="45">
        <f t="shared" si="96"/>
        <v>124</v>
      </c>
      <c r="G488" s="79">
        <f t="shared" si="97"/>
        <v>4516.0000000000109</v>
      </c>
      <c r="H488" s="77">
        <v>3816</v>
      </c>
      <c r="I488" s="77">
        <v>783</v>
      </c>
      <c r="J488" s="80">
        <f t="shared" si="100"/>
        <v>4599</v>
      </c>
      <c r="K488" s="81">
        <f t="shared" si="99"/>
        <v>82.999999999989086</v>
      </c>
      <c r="L488" s="43"/>
      <c r="N488" s="112">
        <v>100197</v>
      </c>
      <c r="O488" s="112">
        <v>65214</v>
      </c>
      <c r="P488" s="112">
        <v>4040</v>
      </c>
      <c r="Q488" s="112"/>
      <c r="R488" s="112">
        <v>23062</v>
      </c>
      <c r="S488" s="113">
        <v>3630.1</v>
      </c>
      <c r="T488" s="113"/>
      <c r="U488" s="113"/>
      <c r="V488" s="112">
        <v>161647</v>
      </c>
      <c r="W488" s="112">
        <v>105097</v>
      </c>
      <c r="X488" s="112">
        <v>73151</v>
      </c>
      <c r="Y488" s="112">
        <v>92778</v>
      </c>
      <c r="Z488" s="112">
        <v>130405</v>
      </c>
    </row>
    <row r="489" spans="1:27" ht="18" hidden="1" customHeight="1" x14ac:dyDescent="0.2">
      <c r="A489" s="46">
        <f t="shared" si="106"/>
        <v>43340</v>
      </c>
      <c r="B489" s="47" t="s">
        <v>97</v>
      </c>
      <c r="C489" s="48">
        <f t="shared" si="98"/>
        <v>1630</v>
      </c>
      <c r="D489" s="99">
        <f t="shared" si="103"/>
        <v>480</v>
      </c>
      <c r="E489" s="45">
        <f t="shared" si="104"/>
        <v>855.00000000001091</v>
      </c>
      <c r="F489" s="45">
        <f t="shared" si="96"/>
        <v>108</v>
      </c>
      <c r="G489" s="79">
        <f t="shared" si="97"/>
        <v>3073.0000000000109</v>
      </c>
      <c r="H489" s="77">
        <v>3265</v>
      </c>
      <c r="I489" s="77">
        <v>794</v>
      </c>
      <c r="J489" s="80">
        <f t="shared" si="100"/>
        <v>4059</v>
      </c>
      <c r="K489" s="81">
        <f t="shared" si="99"/>
        <v>985.99999999998909</v>
      </c>
      <c r="L489" s="43"/>
      <c r="N489" s="112">
        <v>100347</v>
      </c>
      <c r="O489" s="112">
        <v>65268</v>
      </c>
      <c r="P489" s="112">
        <v>4049</v>
      </c>
      <c r="Q489" s="112"/>
      <c r="R489" s="112">
        <v>23090</v>
      </c>
      <c r="S489" s="113">
        <v>3639.5</v>
      </c>
      <c r="T489" s="113"/>
      <c r="U489" s="113"/>
      <c r="V489" s="112">
        <v>161903</v>
      </c>
      <c r="W489" s="112">
        <v>105135</v>
      </c>
      <c r="X489" s="112">
        <v>73192</v>
      </c>
      <c r="Y489" s="112">
        <v>92778</v>
      </c>
      <c r="Z489" s="112">
        <v>130529</v>
      </c>
    </row>
    <row r="490" spans="1:27" ht="18" hidden="1" customHeight="1" x14ac:dyDescent="0.2">
      <c r="A490" s="46">
        <f t="shared" si="106"/>
        <v>43341</v>
      </c>
      <c r="B490" s="47" t="s">
        <v>98</v>
      </c>
      <c r="C490" s="48">
        <f t="shared" si="98"/>
        <v>2000</v>
      </c>
      <c r="D490" s="99">
        <f t="shared" si="103"/>
        <v>1560</v>
      </c>
      <c r="E490" s="45">
        <f t="shared" si="104"/>
        <v>895.99999999997817</v>
      </c>
      <c r="F490" s="45">
        <f t="shared" si="96"/>
        <v>84</v>
      </c>
      <c r="G490" s="79">
        <f t="shared" si="97"/>
        <v>4539.9999999999782</v>
      </c>
      <c r="H490" s="77">
        <v>3848</v>
      </c>
      <c r="I490" s="77">
        <v>808</v>
      </c>
      <c r="J490" s="80">
        <f t="shared" si="100"/>
        <v>4656</v>
      </c>
      <c r="K490" s="81">
        <f t="shared" si="99"/>
        <v>116.00000000002183</v>
      </c>
      <c r="L490" s="43"/>
      <c r="N490" s="112">
        <v>100397</v>
      </c>
      <c r="O490" s="112">
        <v>65325</v>
      </c>
      <c r="P490" s="112">
        <v>4059</v>
      </c>
      <c r="Q490" s="112"/>
      <c r="R490" s="112">
        <v>23117</v>
      </c>
      <c r="S490" s="113">
        <v>3646.4</v>
      </c>
      <c r="T490" s="113"/>
      <c r="U490" s="113"/>
      <c r="V490" s="112">
        <v>162169</v>
      </c>
      <c r="W490" s="112">
        <v>105166</v>
      </c>
      <c r="X490" s="112">
        <v>73223</v>
      </c>
      <c r="Y490" s="112">
        <v>92778</v>
      </c>
      <c r="Z490" s="112">
        <v>130637</v>
      </c>
    </row>
    <row r="491" spans="1:27" ht="18" hidden="1" customHeight="1" x14ac:dyDescent="0.2">
      <c r="A491" s="46">
        <f t="shared" si="106"/>
        <v>43342</v>
      </c>
      <c r="B491" s="47" t="s">
        <v>99</v>
      </c>
      <c r="C491" s="48">
        <f t="shared" si="98"/>
        <v>1658</v>
      </c>
      <c r="D491" s="99">
        <f t="shared" si="103"/>
        <v>1680</v>
      </c>
      <c r="E491" s="45">
        <f t="shared" si="104"/>
        <v>784.00000000002183</v>
      </c>
      <c r="F491" s="45">
        <f t="shared" si="96"/>
        <v>92</v>
      </c>
      <c r="G491" s="79">
        <f t="shared" si="97"/>
        <v>4214.0000000000218</v>
      </c>
      <c r="H491" s="77">
        <v>3455</v>
      </c>
      <c r="I491" s="77">
        <v>900</v>
      </c>
      <c r="J491" s="80">
        <f t="shared" si="100"/>
        <v>4355</v>
      </c>
      <c r="K491" s="81">
        <f t="shared" si="99"/>
        <v>140.99999999997817</v>
      </c>
      <c r="L491" s="43"/>
      <c r="N491" s="112">
        <v>100577</v>
      </c>
      <c r="O491" s="112">
        <v>65396</v>
      </c>
      <c r="P491" s="112">
        <v>4074</v>
      </c>
      <c r="Q491" s="112"/>
      <c r="R491" s="112">
        <v>23149</v>
      </c>
      <c r="S491" s="113">
        <v>3653.6</v>
      </c>
      <c r="T491" s="113"/>
      <c r="U491" s="113"/>
      <c r="V491" s="112">
        <v>162437</v>
      </c>
      <c r="W491" s="112">
        <v>105204</v>
      </c>
      <c r="X491" s="112">
        <v>73266</v>
      </c>
      <c r="Y491" s="112">
        <v>92778</v>
      </c>
      <c r="Z491" s="112">
        <v>130721</v>
      </c>
    </row>
    <row r="492" spans="1:27" ht="18" hidden="1" customHeight="1" x14ac:dyDescent="0.2">
      <c r="A492" s="46">
        <f t="shared" si="106"/>
        <v>43343</v>
      </c>
      <c r="B492" s="47" t="s">
        <v>100</v>
      </c>
      <c r="C492" s="48">
        <f t="shared" si="98"/>
        <v>0</v>
      </c>
      <c r="D492" s="99">
        <f t="shared" si="103"/>
        <v>0</v>
      </c>
      <c r="E492" s="45">
        <f t="shared" si="104"/>
        <v>0</v>
      </c>
      <c r="F492" s="45">
        <f t="shared" si="96"/>
        <v>0</v>
      </c>
      <c r="G492" s="79">
        <f t="shared" si="97"/>
        <v>0</v>
      </c>
      <c r="H492" s="77">
        <v>3502</v>
      </c>
      <c r="I492" s="77">
        <v>900</v>
      </c>
      <c r="J492" s="80">
        <f t="shared" si="100"/>
        <v>4402</v>
      </c>
      <c r="K492" s="81">
        <f t="shared" si="99"/>
        <v>4402</v>
      </c>
      <c r="L492" s="43"/>
      <c r="N492" s="112">
        <v>100777</v>
      </c>
      <c r="O492" s="112">
        <v>65468</v>
      </c>
      <c r="P492" s="112">
        <v>4084</v>
      </c>
      <c r="Q492" s="112"/>
      <c r="R492" s="112">
        <v>23177</v>
      </c>
      <c r="S492" s="113">
        <v>3659.9</v>
      </c>
      <c r="T492" s="113"/>
      <c r="U492" s="113"/>
      <c r="V492" s="112">
        <v>162679</v>
      </c>
      <c r="W492" s="112">
        <v>105234</v>
      </c>
      <c r="X492" s="112">
        <v>73304</v>
      </c>
      <c r="Y492" s="112">
        <v>92778</v>
      </c>
      <c r="Z492" s="112">
        <v>130813</v>
      </c>
    </row>
    <row r="493" spans="1:27" ht="18" hidden="1" customHeight="1" x14ac:dyDescent="0.2">
      <c r="A493" s="46">
        <f t="shared" si="106"/>
        <v>43344</v>
      </c>
      <c r="B493" s="56" t="s">
        <v>103</v>
      </c>
      <c r="C493" s="48">
        <f t="shared" si="98"/>
        <v>0</v>
      </c>
      <c r="D493" s="99">
        <f t="shared" si="103"/>
        <v>0</v>
      </c>
      <c r="E493" s="45">
        <f t="shared" si="104"/>
        <v>0</v>
      </c>
      <c r="F493" s="45">
        <f t="shared" si="96"/>
        <v>0</v>
      </c>
      <c r="G493" s="79">
        <f t="shared" si="97"/>
        <v>0</v>
      </c>
      <c r="H493" s="77">
        <v>0</v>
      </c>
      <c r="I493" s="77">
        <v>3344</v>
      </c>
      <c r="J493" s="80">
        <f>H493+I493</f>
        <v>3344</v>
      </c>
      <c r="K493" s="81">
        <f t="shared" si="99"/>
        <v>3344</v>
      </c>
      <c r="L493" s="43"/>
      <c r="N493" s="153">
        <v>100777</v>
      </c>
      <c r="O493" s="153">
        <v>65468</v>
      </c>
      <c r="P493" s="153">
        <v>4084</v>
      </c>
      <c r="Q493" s="153"/>
      <c r="R493" s="153">
        <v>23177</v>
      </c>
      <c r="S493" s="154">
        <v>3659.9</v>
      </c>
      <c r="T493" s="154"/>
      <c r="U493" s="154"/>
      <c r="V493" s="153">
        <v>162679</v>
      </c>
      <c r="W493" s="153">
        <v>105234</v>
      </c>
      <c r="X493" s="153">
        <v>73304</v>
      </c>
      <c r="Y493" s="153">
        <v>92778</v>
      </c>
      <c r="Z493" s="153">
        <v>130813</v>
      </c>
    </row>
    <row r="494" spans="1:27" ht="18" hidden="1" customHeight="1" x14ac:dyDescent="0.2">
      <c r="A494" s="46">
        <f t="shared" si="106"/>
        <v>43345</v>
      </c>
      <c r="B494" s="56" t="s">
        <v>104</v>
      </c>
      <c r="C494" s="48">
        <f t="shared" si="98"/>
        <v>2624</v>
      </c>
      <c r="D494" s="99">
        <f t="shared" si="103"/>
        <v>4856</v>
      </c>
      <c r="E494" s="45">
        <f t="shared" si="104"/>
        <v>2877.9999999999782</v>
      </c>
      <c r="F494" s="45">
        <f t="shared" si="96"/>
        <v>326</v>
      </c>
      <c r="G494" s="79">
        <f t="shared" si="97"/>
        <v>10683.999999999978</v>
      </c>
      <c r="H494" s="77">
        <v>0</v>
      </c>
      <c r="I494" s="77">
        <v>3307</v>
      </c>
      <c r="J494" s="80">
        <f t="shared" ref="J494:J522" si="107">H494+I494</f>
        <v>3307</v>
      </c>
      <c r="K494" s="81">
        <f t="shared" si="99"/>
        <v>-7376.9999999999782</v>
      </c>
      <c r="L494" s="43"/>
      <c r="N494" s="153">
        <v>100777</v>
      </c>
      <c r="O494" s="153">
        <v>65468</v>
      </c>
      <c r="P494" s="153">
        <v>4084</v>
      </c>
      <c r="Q494" s="153"/>
      <c r="R494" s="153">
        <v>23177</v>
      </c>
      <c r="S494" s="154">
        <v>3659.9</v>
      </c>
      <c r="T494" s="154"/>
      <c r="U494" s="154"/>
      <c r="V494" s="153">
        <v>162679</v>
      </c>
      <c r="W494" s="153">
        <v>105234</v>
      </c>
      <c r="X494" s="153">
        <v>73304</v>
      </c>
      <c r="Y494" s="153">
        <v>92778</v>
      </c>
      <c r="Z494" s="153">
        <v>130813</v>
      </c>
    </row>
    <row r="495" spans="1:27" ht="18" hidden="1" customHeight="1" x14ac:dyDescent="0.2">
      <c r="A495" s="46">
        <f t="shared" si="106"/>
        <v>43346</v>
      </c>
      <c r="B495" s="47" t="s">
        <v>96</v>
      </c>
      <c r="C495" s="48">
        <f t="shared" si="98"/>
        <v>1915</v>
      </c>
      <c r="D495" s="99">
        <f t="shared" si="103"/>
        <v>1568</v>
      </c>
      <c r="E495" s="45">
        <f t="shared" si="104"/>
        <v>964.00000000002183</v>
      </c>
      <c r="F495" s="45">
        <f t="shared" si="96"/>
        <v>114</v>
      </c>
      <c r="G495" s="79">
        <f t="shared" si="97"/>
        <v>4561.0000000000218</v>
      </c>
      <c r="H495" s="77">
        <v>3815</v>
      </c>
      <c r="I495" s="77">
        <v>887</v>
      </c>
      <c r="J495" s="80">
        <f t="shared" si="107"/>
        <v>4702</v>
      </c>
      <c r="K495" s="81">
        <f t="shared" si="99"/>
        <v>140.99999999997817</v>
      </c>
      <c r="L495" s="43"/>
      <c r="N495" s="112">
        <v>101357</v>
      </c>
      <c r="O495" s="112">
        <v>65685</v>
      </c>
      <c r="P495" s="112">
        <v>4111</v>
      </c>
      <c r="Q495" s="112"/>
      <c r="R495" s="112">
        <v>23271</v>
      </c>
      <c r="S495" s="113">
        <v>3683.1</v>
      </c>
      <c r="T495" s="113"/>
      <c r="U495" s="113"/>
      <c r="V495" s="112">
        <v>163271</v>
      </c>
      <c r="W495" s="112">
        <v>105287</v>
      </c>
      <c r="X495" s="112">
        <v>73332</v>
      </c>
      <c r="Y495" s="112">
        <v>92778</v>
      </c>
      <c r="Z495" s="112">
        <v>131139</v>
      </c>
    </row>
    <row r="496" spans="1:27" ht="18" hidden="1" customHeight="1" x14ac:dyDescent="0.2">
      <c r="A496" s="46">
        <f t="shared" si="106"/>
        <v>43347</v>
      </c>
      <c r="B496" s="47" t="s">
        <v>97</v>
      </c>
      <c r="C496" s="48">
        <f t="shared" si="98"/>
        <v>2018</v>
      </c>
      <c r="D496" s="99">
        <f t="shared" si="103"/>
        <v>1680</v>
      </c>
      <c r="E496" s="45">
        <f t="shared" si="104"/>
        <v>922.00000000001091</v>
      </c>
      <c r="F496" s="45">
        <f t="shared" si="96"/>
        <v>121</v>
      </c>
      <c r="G496" s="79">
        <f t="shared" si="97"/>
        <v>4741.0000000000109</v>
      </c>
      <c r="H496" s="77">
        <v>3839</v>
      </c>
      <c r="I496" s="77">
        <v>973</v>
      </c>
      <c r="J496" s="80">
        <f t="shared" si="107"/>
        <v>4812</v>
      </c>
      <c r="K496" s="81">
        <f t="shared" si="99"/>
        <v>70.999999999989086</v>
      </c>
      <c r="L496" s="43"/>
      <c r="N496" s="112">
        <v>101537</v>
      </c>
      <c r="O496" s="112">
        <v>65757</v>
      </c>
      <c r="P496" s="112">
        <v>4127</v>
      </c>
      <c r="Q496" s="112"/>
      <c r="R496" s="112">
        <v>23299</v>
      </c>
      <c r="S496" s="113">
        <v>3690.9</v>
      </c>
      <c r="T496" s="113"/>
      <c r="U496" s="113"/>
      <c r="V496" s="112">
        <v>163562</v>
      </c>
      <c r="W496" s="112">
        <v>105322</v>
      </c>
      <c r="X496" s="112">
        <v>73374</v>
      </c>
      <c r="Y496" s="112">
        <v>92778</v>
      </c>
      <c r="Z496" s="112">
        <v>131253</v>
      </c>
    </row>
    <row r="497" spans="1:26" ht="18" hidden="1" customHeight="1" x14ac:dyDescent="0.2">
      <c r="A497" s="46">
        <f t="shared" si="106"/>
        <v>43348</v>
      </c>
      <c r="B497" s="47" t="s">
        <v>98</v>
      </c>
      <c r="C497" s="48">
        <f t="shared" si="98"/>
        <v>2539</v>
      </c>
      <c r="D497" s="99">
        <f t="shared" si="103"/>
        <v>1848</v>
      </c>
      <c r="E497" s="45">
        <f t="shared" si="104"/>
        <v>942.99999999998909</v>
      </c>
      <c r="F497" s="45">
        <f t="shared" si="96"/>
        <v>124</v>
      </c>
      <c r="G497" s="79">
        <f t="shared" si="97"/>
        <v>5453.9999999999891</v>
      </c>
      <c r="H497" s="77">
        <v>4523</v>
      </c>
      <c r="I497" s="77">
        <v>1045</v>
      </c>
      <c r="J497" s="80">
        <f t="shared" si="107"/>
        <v>5568</v>
      </c>
      <c r="K497" s="81">
        <f t="shared" si="99"/>
        <v>114.00000000001091</v>
      </c>
      <c r="L497" s="43"/>
      <c r="N497" s="112">
        <v>101737</v>
      </c>
      <c r="O497" s="112">
        <v>65833</v>
      </c>
      <c r="P497" s="112">
        <v>4137</v>
      </c>
      <c r="Q497" s="112"/>
      <c r="R497" s="112">
        <v>23333</v>
      </c>
      <c r="S497" s="113">
        <v>3698.3</v>
      </c>
      <c r="T497" s="113"/>
      <c r="U497" s="113"/>
      <c r="V497" s="112">
        <v>163900</v>
      </c>
      <c r="W497" s="112">
        <v>105361</v>
      </c>
      <c r="X497" s="112">
        <v>73410</v>
      </c>
      <c r="Y497" s="112">
        <v>92778</v>
      </c>
      <c r="Z497" s="112">
        <v>131374</v>
      </c>
    </row>
    <row r="498" spans="1:26" ht="18" hidden="1" customHeight="1" x14ac:dyDescent="0.2">
      <c r="A498" s="46">
        <f t="shared" si="106"/>
        <v>43349</v>
      </c>
      <c r="B498" s="47" t="s">
        <v>99</v>
      </c>
      <c r="C498" s="48">
        <f t="shared" si="98"/>
        <v>2168</v>
      </c>
      <c r="D498" s="99">
        <f t="shared" si="103"/>
        <v>1680</v>
      </c>
      <c r="E498" s="45">
        <f t="shared" si="104"/>
        <v>1036.0000000000109</v>
      </c>
      <c r="F498" s="45">
        <f t="shared" si="96"/>
        <v>118</v>
      </c>
      <c r="G498" s="79">
        <f t="shared" si="97"/>
        <v>5002.0000000000109</v>
      </c>
      <c r="H498" s="77">
        <v>4267</v>
      </c>
      <c r="I498" s="77">
        <v>1041</v>
      </c>
      <c r="J498" s="80">
        <f t="shared" si="107"/>
        <v>5308</v>
      </c>
      <c r="K498" s="81">
        <f t="shared" si="99"/>
        <v>305.99999999998909</v>
      </c>
      <c r="L498" s="43"/>
      <c r="N498" s="112">
        <v>101957</v>
      </c>
      <c r="O498" s="112">
        <v>65914</v>
      </c>
      <c r="P498" s="112">
        <v>4148</v>
      </c>
      <c r="Q498" s="112"/>
      <c r="R498" s="112">
        <v>23364</v>
      </c>
      <c r="S498" s="113">
        <v>3705.9</v>
      </c>
      <c r="T498" s="113"/>
      <c r="U498" s="113"/>
      <c r="V498" s="112">
        <v>164219</v>
      </c>
      <c r="W498" s="112">
        <v>105409</v>
      </c>
      <c r="X498" s="112">
        <v>73467</v>
      </c>
      <c r="Y498" s="112">
        <v>92778</v>
      </c>
      <c r="Z498" s="112">
        <v>131498</v>
      </c>
    </row>
    <row r="499" spans="1:26" ht="18" hidden="1" customHeight="1" x14ac:dyDescent="0.2">
      <c r="A499" s="46">
        <f t="shared" si="106"/>
        <v>43350</v>
      </c>
      <c r="B499" s="47" t="s">
        <v>100</v>
      </c>
      <c r="C499" s="48">
        <f t="shared" si="98"/>
        <v>0</v>
      </c>
      <c r="D499" s="99">
        <f t="shared" si="103"/>
        <v>0</v>
      </c>
      <c r="E499" s="45">
        <f t="shared" si="104"/>
        <v>0</v>
      </c>
      <c r="F499" s="45">
        <f t="shared" si="96"/>
        <v>0</v>
      </c>
      <c r="G499" s="79">
        <f t="shared" si="97"/>
        <v>0</v>
      </c>
      <c r="H499" s="77">
        <v>4025</v>
      </c>
      <c r="I499" s="77">
        <v>1048</v>
      </c>
      <c r="J499" s="80">
        <f t="shared" si="107"/>
        <v>5073</v>
      </c>
      <c r="K499" s="81">
        <f t="shared" si="99"/>
        <v>5073</v>
      </c>
      <c r="L499" s="43"/>
      <c r="N499" s="112">
        <v>102157</v>
      </c>
      <c r="O499" s="112">
        <v>65998</v>
      </c>
      <c r="P499" s="112">
        <v>4158</v>
      </c>
      <c r="Q499" s="112"/>
      <c r="R499" s="112">
        <v>23392</v>
      </c>
      <c r="S499" s="113">
        <v>3714.3</v>
      </c>
      <c r="T499" s="113"/>
      <c r="U499" s="113"/>
      <c r="V499" s="112">
        <v>164511</v>
      </c>
      <c r="W499" s="112">
        <v>105450</v>
      </c>
      <c r="X499" s="112">
        <v>73514</v>
      </c>
      <c r="Y499" s="112">
        <v>92778</v>
      </c>
      <c r="Z499" s="112">
        <v>131616</v>
      </c>
    </row>
    <row r="500" spans="1:26" ht="18" hidden="1" customHeight="1" x14ac:dyDescent="0.2">
      <c r="A500" s="46">
        <f t="shared" si="106"/>
        <v>43351</v>
      </c>
      <c r="B500" s="47" t="s">
        <v>101</v>
      </c>
      <c r="C500" s="48">
        <f t="shared" si="98"/>
        <v>0</v>
      </c>
      <c r="D500" s="99">
        <f t="shared" si="103"/>
        <v>0</v>
      </c>
      <c r="E500" s="45">
        <f t="shared" si="104"/>
        <v>0</v>
      </c>
      <c r="F500" s="45">
        <f t="shared" si="96"/>
        <v>0</v>
      </c>
      <c r="G500" s="79">
        <f t="shared" si="97"/>
        <v>0</v>
      </c>
      <c r="H500" s="77">
        <v>0</v>
      </c>
      <c r="I500" s="77">
        <v>3324</v>
      </c>
      <c r="J500" s="80">
        <f t="shared" si="107"/>
        <v>3324</v>
      </c>
      <c r="K500" s="81">
        <f t="shared" si="99"/>
        <v>3324</v>
      </c>
      <c r="L500" s="43"/>
      <c r="N500" s="153">
        <v>102157</v>
      </c>
      <c r="O500" s="153">
        <v>65998</v>
      </c>
      <c r="P500" s="153">
        <v>4158</v>
      </c>
      <c r="Q500" s="153"/>
      <c r="R500" s="153">
        <v>23392</v>
      </c>
      <c r="S500" s="154">
        <v>3714.3</v>
      </c>
      <c r="T500" s="154"/>
      <c r="U500" s="154"/>
      <c r="V500" s="153">
        <v>164511</v>
      </c>
      <c r="W500" s="153">
        <v>105450</v>
      </c>
      <c r="X500" s="153">
        <v>73514</v>
      </c>
      <c r="Y500" s="153">
        <v>92778</v>
      </c>
      <c r="Z500" s="153">
        <v>131616</v>
      </c>
    </row>
    <row r="501" spans="1:26" ht="18" hidden="1" customHeight="1" x14ac:dyDescent="0.2">
      <c r="A501" s="46">
        <f t="shared" si="106"/>
        <v>43352</v>
      </c>
      <c r="B501" s="47" t="s">
        <v>95</v>
      </c>
      <c r="C501" s="48">
        <f t="shared" si="98"/>
        <v>2740</v>
      </c>
      <c r="D501" s="99">
        <f t="shared" si="103"/>
        <v>5192</v>
      </c>
      <c r="E501" s="45">
        <f t="shared" si="104"/>
        <v>2973</v>
      </c>
      <c r="F501" s="45">
        <f t="shared" si="96"/>
        <v>326</v>
      </c>
      <c r="G501" s="79">
        <f t="shared" si="97"/>
        <v>11231</v>
      </c>
      <c r="H501" s="77">
        <v>0</v>
      </c>
      <c r="I501" s="77">
        <v>3322</v>
      </c>
      <c r="J501" s="80">
        <f t="shared" si="107"/>
        <v>3322</v>
      </c>
      <c r="K501" s="81">
        <f t="shared" si="99"/>
        <v>-7909</v>
      </c>
      <c r="L501" s="43"/>
      <c r="N501" s="153">
        <v>102157</v>
      </c>
      <c r="O501" s="153">
        <v>65998</v>
      </c>
      <c r="P501" s="153">
        <v>4158</v>
      </c>
      <c r="Q501" s="153"/>
      <c r="R501" s="153">
        <v>23392</v>
      </c>
      <c r="S501" s="154">
        <v>3714.3</v>
      </c>
      <c r="T501" s="154"/>
      <c r="U501" s="154"/>
      <c r="V501" s="153">
        <v>164511</v>
      </c>
      <c r="W501" s="153">
        <v>105450</v>
      </c>
      <c r="X501" s="153">
        <v>73514</v>
      </c>
      <c r="Y501" s="153">
        <v>92778</v>
      </c>
      <c r="Z501" s="153">
        <v>131616</v>
      </c>
    </row>
    <row r="502" spans="1:26" ht="18" hidden="1" customHeight="1" x14ac:dyDescent="0.2">
      <c r="A502" s="46">
        <f t="shared" si="106"/>
        <v>43353</v>
      </c>
      <c r="B502" s="47" t="s">
        <v>96</v>
      </c>
      <c r="C502" s="48">
        <f t="shared" si="98"/>
        <v>2235</v>
      </c>
      <c r="D502" s="99">
        <f t="shared" si="103"/>
        <v>1864</v>
      </c>
      <c r="E502" s="45">
        <f t="shared" si="104"/>
        <v>1025.9999999999673</v>
      </c>
      <c r="F502" s="45">
        <f t="shared" si="96"/>
        <v>105</v>
      </c>
      <c r="G502" s="79">
        <f t="shared" si="97"/>
        <v>5229.9999999999673</v>
      </c>
      <c r="H502" s="77">
        <v>4325</v>
      </c>
      <c r="I502" s="77">
        <v>890</v>
      </c>
      <c r="J502" s="80">
        <f t="shared" si="107"/>
        <v>5215</v>
      </c>
      <c r="K502" s="81">
        <f t="shared" si="99"/>
        <v>-14.999999999967258</v>
      </c>
      <c r="L502" s="43"/>
      <c r="N502" s="112">
        <v>102777</v>
      </c>
      <c r="O502" s="112">
        <v>66228</v>
      </c>
      <c r="P502" s="112">
        <v>4187</v>
      </c>
      <c r="Q502" s="112"/>
      <c r="R502" s="112">
        <v>23485</v>
      </c>
      <c r="S502" s="113">
        <v>3738.3</v>
      </c>
      <c r="T502" s="113"/>
      <c r="U502" s="113"/>
      <c r="V502" s="112">
        <v>165043</v>
      </c>
      <c r="W502" s="112">
        <v>105504</v>
      </c>
      <c r="X502" s="112">
        <v>73554</v>
      </c>
      <c r="Y502" s="112">
        <v>92778</v>
      </c>
      <c r="Z502" s="112">
        <v>131942</v>
      </c>
    </row>
    <row r="503" spans="1:26" ht="18" hidden="1" customHeight="1" x14ac:dyDescent="0.2">
      <c r="A503" s="46">
        <f t="shared" si="106"/>
        <v>43354</v>
      </c>
      <c r="B503" s="47" t="s">
        <v>97</v>
      </c>
      <c r="C503" s="48">
        <f t="shared" si="98"/>
        <v>2631</v>
      </c>
      <c r="D503" s="99">
        <f t="shared" si="103"/>
        <v>1760</v>
      </c>
      <c r="E503" s="45">
        <f t="shared" si="104"/>
        <v>854.00000000001091</v>
      </c>
      <c r="F503" s="45">
        <f t="shared" si="96"/>
        <v>115</v>
      </c>
      <c r="G503" s="79">
        <f t="shared" si="97"/>
        <v>5360.0000000000109</v>
      </c>
      <c r="H503" s="77">
        <v>4557</v>
      </c>
      <c r="I503" s="77">
        <v>993</v>
      </c>
      <c r="J503" s="80">
        <f t="shared" si="107"/>
        <v>5550</v>
      </c>
      <c r="K503" s="81">
        <f t="shared" si="99"/>
        <v>189.99999999998909</v>
      </c>
      <c r="L503" s="43"/>
      <c r="N503" s="112">
        <v>102997</v>
      </c>
      <c r="O503" s="112">
        <v>66311</v>
      </c>
      <c r="P503" s="112">
        <v>4200</v>
      </c>
      <c r="Q503" s="112"/>
      <c r="R503" s="112">
        <v>23515</v>
      </c>
      <c r="S503" s="113">
        <v>3746.6</v>
      </c>
      <c r="T503" s="113"/>
      <c r="U503" s="113"/>
      <c r="V503" s="112">
        <v>165270</v>
      </c>
      <c r="W503" s="112">
        <v>105542</v>
      </c>
      <c r="X503" s="112">
        <v>73620</v>
      </c>
      <c r="Y503" s="112">
        <v>92778</v>
      </c>
      <c r="Z503" s="112">
        <v>132047</v>
      </c>
    </row>
    <row r="504" spans="1:26" ht="18" hidden="1" customHeight="1" x14ac:dyDescent="0.2">
      <c r="A504" s="46">
        <f t="shared" si="106"/>
        <v>43355</v>
      </c>
      <c r="B504" s="47" t="s">
        <v>98</v>
      </c>
      <c r="C504" s="48">
        <f t="shared" si="98"/>
        <v>1829</v>
      </c>
      <c r="D504" s="99">
        <f t="shared" si="103"/>
        <v>1760</v>
      </c>
      <c r="E504" s="45">
        <f t="shared" si="104"/>
        <v>867</v>
      </c>
      <c r="F504" s="45">
        <f t="shared" si="96"/>
        <v>89</v>
      </c>
      <c r="G504" s="79">
        <f t="shared" si="97"/>
        <v>4545</v>
      </c>
      <c r="H504" s="77">
        <v>3691</v>
      </c>
      <c r="I504" s="77">
        <v>1015</v>
      </c>
      <c r="J504" s="80">
        <f t="shared" si="107"/>
        <v>4706</v>
      </c>
      <c r="K504" s="81">
        <f t="shared" si="99"/>
        <v>161</v>
      </c>
      <c r="L504" s="43"/>
      <c r="N504" s="112">
        <v>103207</v>
      </c>
      <c r="O504" s="112">
        <v>66391</v>
      </c>
      <c r="P504" s="112">
        <v>4210</v>
      </c>
      <c r="Q504" s="112"/>
      <c r="R504" s="112">
        <v>23541</v>
      </c>
      <c r="S504" s="113">
        <v>3753.5</v>
      </c>
      <c r="T504" s="113"/>
      <c r="U504" s="113"/>
      <c r="V504" s="112">
        <v>165557</v>
      </c>
      <c r="W504" s="112">
        <v>105592</v>
      </c>
      <c r="X504" s="112">
        <v>73682</v>
      </c>
      <c r="Y504" s="112">
        <v>92778</v>
      </c>
      <c r="Z504" s="112">
        <v>132162</v>
      </c>
    </row>
    <row r="505" spans="1:26" ht="18" hidden="1" customHeight="1" x14ac:dyDescent="0.2">
      <c r="A505" s="46">
        <f t="shared" si="106"/>
        <v>43356</v>
      </c>
      <c r="B505" s="47" t="s">
        <v>99</v>
      </c>
      <c r="C505" s="48">
        <f t="shared" si="98"/>
        <v>1667</v>
      </c>
      <c r="D505" s="99">
        <f t="shared" si="103"/>
        <v>1624</v>
      </c>
      <c r="E505" s="45">
        <f t="shared" si="104"/>
        <v>929</v>
      </c>
      <c r="F505" s="45">
        <f t="shared" si="96"/>
        <v>93</v>
      </c>
      <c r="G505" s="79">
        <f t="shared" si="97"/>
        <v>4313</v>
      </c>
      <c r="H505" s="77">
        <v>3496</v>
      </c>
      <c r="I505" s="77">
        <v>948</v>
      </c>
      <c r="J505" s="80">
        <f t="shared" si="107"/>
        <v>4444</v>
      </c>
      <c r="K505" s="81">
        <f t="shared" si="99"/>
        <v>131</v>
      </c>
      <c r="L505" s="43"/>
      <c r="N505" s="112">
        <v>103417</v>
      </c>
      <c r="O505" s="112">
        <v>66468</v>
      </c>
      <c r="P505" s="112">
        <v>4220</v>
      </c>
      <c r="Q505" s="112"/>
      <c r="R505" s="112">
        <v>23568</v>
      </c>
      <c r="S505" s="113">
        <v>3760.5</v>
      </c>
      <c r="T505" s="113"/>
      <c r="U505" s="113"/>
      <c r="V505" s="112">
        <v>165838</v>
      </c>
      <c r="W505" s="112">
        <v>105631</v>
      </c>
      <c r="X505" s="112">
        <v>73707</v>
      </c>
      <c r="Y505" s="112">
        <v>92778</v>
      </c>
      <c r="Z505" s="112">
        <v>132251</v>
      </c>
    </row>
    <row r="506" spans="1:26" ht="18" hidden="1" customHeight="1" x14ac:dyDescent="0.2">
      <c r="A506" s="46">
        <f t="shared" si="106"/>
        <v>43357</v>
      </c>
      <c r="B506" s="47" t="s">
        <v>100</v>
      </c>
      <c r="C506" s="48">
        <f t="shared" si="98"/>
        <v>0</v>
      </c>
      <c r="D506" s="99">
        <f t="shared" si="103"/>
        <v>0</v>
      </c>
      <c r="E506" s="45">
        <f t="shared" si="104"/>
        <v>0</v>
      </c>
      <c r="F506" s="45">
        <f t="shared" si="96"/>
        <v>0</v>
      </c>
      <c r="G506" s="79">
        <f t="shared" si="97"/>
        <v>0</v>
      </c>
      <c r="H506" s="77">
        <v>3040</v>
      </c>
      <c r="I506" s="77">
        <v>889</v>
      </c>
      <c r="J506" s="80">
        <f t="shared" si="107"/>
        <v>3929</v>
      </c>
      <c r="K506" s="81">
        <f t="shared" si="99"/>
        <v>3929</v>
      </c>
      <c r="L506" s="43"/>
      <c r="N506" s="112">
        <v>103607</v>
      </c>
      <c r="O506" s="112">
        <v>66539</v>
      </c>
      <c r="P506" s="112">
        <v>4233</v>
      </c>
      <c r="Q506" s="112"/>
      <c r="R506" s="112">
        <v>23597</v>
      </c>
      <c r="S506" s="113">
        <v>3768</v>
      </c>
      <c r="T506" s="113"/>
      <c r="U506" s="113"/>
      <c r="V506" s="112">
        <v>166113</v>
      </c>
      <c r="W506" s="112">
        <v>105667</v>
      </c>
      <c r="X506" s="112">
        <v>73727</v>
      </c>
      <c r="Y506" s="112">
        <v>92778</v>
      </c>
      <c r="Z506" s="112">
        <v>132344</v>
      </c>
    </row>
    <row r="507" spans="1:26" ht="18" hidden="1" customHeight="1" x14ac:dyDescent="0.2">
      <c r="A507" s="46">
        <f t="shared" si="106"/>
        <v>43358</v>
      </c>
      <c r="B507" s="47" t="s">
        <v>101</v>
      </c>
      <c r="C507" s="48">
        <f t="shared" si="98"/>
        <v>0</v>
      </c>
      <c r="D507" s="99">
        <f t="shared" si="103"/>
        <v>0</v>
      </c>
      <c r="E507" s="45">
        <f t="shared" si="104"/>
        <v>0</v>
      </c>
      <c r="F507" s="45">
        <f t="shared" si="96"/>
        <v>0</v>
      </c>
      <c r="G507" s="79">
        <f t="shared" si="97"/>
        <v>0</v>
      </c>
      <c r="H507" s="77">
        <v>0</v>
      </c>
      <c r="I507" s="77">
        <v>2713</v>
      </c>
      <c r="J507" s="80">
        <f t="shared" si="107"/>
        <v>2713</v>
      </c>
      <c r="K507" s="81">
        <f t="shared" si="99"/>
        <v>2713</v>
      </c>
      <c r="L507" s="43"/>
      <c r="N507" s="153">
        <v>103607</v>
      </c>
      <c r="O507" s="153">
        <v>66539</v>
      </c>
      <c r="P507" s="153">
        <v>4233</v>
      </c>
      <c r="Q507" s="153"/>
      <c r="R507" s="153">
        <v>23597</v>
      </c>
      <c r="S507" s="154">
        <v>3768</v>
      </c>
      <c r="T507" s="154"/>
      <c r="U507" s="154"/>
      <c r="V507" s="153">
        <v>166113</v>
      </c>
      <c r="W507" s="153">
        <v>105667</v>
      </c>
      <c r="X507" s="153">
        <v>73727</v>
      </c>
      <c r="Y507" s="153">
        <v>92778</v>
      </c>
      <c r="Z507" s="153">
        <v>132344</v>
      </c>
    </row>
    <row r="508" spans="1:26" ht="18" hidden="1" customHeight="1" x14ac:dyDescent="0.2">
      <c r="A508" s="46">
        <f t="shared" si="106"/>
        <v>43359</v>
      </c>
      <c r="B508" s="47" t="s">
        <v>95</v>
      </c>
      <c r="C508" s="48">
        <f t="shared" si="98"/>
        <v>2203</v>
      </c>
      <c r="D508" s="99">
        <f t="shared" si="103"/>
        <v>3248</v>
      </c>
      <c r="E508" s="45">
        <f t="shared" si="104"/>
        <v>3111.9999999999891</v>
      </c>
      <c r="F508" s="45">
        <f t="shared" si="96"/>
        <v>340</v>
      </c>
      <c r="G508" s="79">
        <f t="shared" si="97"/>
        <v>8902.9999999999891</v>
      </c>
      <c r="H508" s="77">
        <v>0</v>
      </c>
      <c r="I508" s="77">
        <v>2843</v>
      </c>
      <c r="J508" s="80">
        <f t="shared" si="107"/>
        <v>2843</v>
      </c>
      <c r="K508" s="81">
        <f t="shared" si="99"/>
        <v>-6059.9999999999891</v>
      </c>
      <c r="L508" s="43"/>
      <c r="N508" s="153">
        <v>103607</v>
      </c>
      <c r="O508" s="153">
        <v>66539</v>
      </c>
      <c r="P508" s="153">
        <v>4233</v>
      </c>
      <c r="Q508" s="153"/>
      <c r="R508" s="153">
        <v>23597</v>
      </c>
      <c r="S508" s="154">
        <v>3768</v>
      </c>
      <c r="T508" s="154"/>
      <c r="U508" s="154"/>
      <c r="V508" s="153">
        <v>166113</v>
      </c>
      <c r="W508" s="153">
        <v>105667</v>
      </c>
      <c r="X508" s="153">
        <v>73727</v>
      </c>
      <c r="Y508" s="153">
        <v>92778</v>
      </c>
      <c r="Z508" s="153">
        <v>132344</v>
      </c>
    </row>
    <row r="509" spans="1:26" ht="18" hidden="1" customHeight="1" x14ac:dyDescent="0.2">
      <c r="A509" s="46">
        <f t="shared" si="106"/>
        <v>43360</v>
      </c>
      <c r="B509" s="47" t="s">
        <v>96</v>
      </c>
      <c r="C509" s="48">
        <f t="shared" si="98"/>
        <v>1917</v>
      </c>
      <c r="D509" s="99">
        <f t="shared" si="103"/>
        <v>1512</v>
      </c>
      <c r="E509" s="45">
        <f t="shared" si="104"/>
        <v>1354</v>
      </c>
      <c r="F509" s="45">
        <f t="shared" si="96"/>
        <v>123</v>
      </c>
      <c r="G509" s="79">
        <f t="shared" si="97"/>
        <v>4906</v>
      </c>
      <c r="H509" s="77">
        <v>3943</v>
      </c>
      <c r="I509" s="77">
        <v>862</v>
      </c>
      <c r="J509" s="80">
        <f t="shared" si="107"/>
        <v>4805</v>
      </c>
      <c r="K509" s="81">
        <f t="shared" si="99"/>
        <v>-101</v>
      </c>
      <c r="L509" s="43"/>
      <c r="N509" s="112">
        <v>103987</v>
      </c>
      <c r="O509" s="112">
        <v>66687</v>
      </c>
      <c r="P509" s="112">
        <v>4259</v>
      </c>
      <c r="Q509" s="112"/>
      <c r="R509" s="112">
        <v>23697</v>
      </c>
      <c r="S509" s="113">
        <v>3793.1</v>
      </c>
      <c r="T509" s="113"/>
      <c r="U509" s="113"/>
      <c r="V509" s="112">
        <v>166620</v>
      </c>
      <c r="W509" s="112">
        <v>105717</v>
      </c>
      <c r="X509" s="112">
        <v>73735</v>
      </c>
      <c r="Y509" s="112">
        <v>92778</v>
      </c>
      <c r="Z509" s="112">
        <v>132684</v>
      </c>
    </row>
    <row r="510" spans="1:26" ht="18" hidden="1" customHeight="1" x14ac:dyDescent="0.2">
      <c r="A510" s="46">
        <f t="shared" si="106"/>
        <v>43361</v>
      </c>
      <c r="B510" s="47" t="s">
        <v>97</v>
      </c>
      <c r="C510" s="48">
        <f t="shared" si="98"/>
        <v>1809</v>
      </c>
      <c r="D510" s="99">
        <f t="shared" si="103"/>
        <v>1464</v>
      </c>
      <c r="E510" s="45">
        <f t="shared" si="104"/>
        <v>973.00000000002183</v>
      </c>
      <c r="F510" s="45">
        <f t="shared" si="96"/>
        <v>110</v>
      </c>
      <c r="G510" s="79">
        <f t="shared" si="97"/>
        <v>4356.0000000000218</v>
      </c>
      <c r="H510" s="77">
        <v>3670</v>
      </c>
      <c r="I510" s="77">
        <v>1015</v>
      </c>
      <c r="J510" s="80">
        <f t="shared" si="107"/>
        <v>4685</v>
      </c>
      <c r="K510" s="81">
        <f t="shared" si="99"/>
        <v>328.99999999997817</v>
      </c>
      <c r="L510" s="43"/>
      <c r="N510" s="112">
        <v>104167</v>
      </c>
      <c r="O510" s="112">
        <v>66753</v>
      </c>
      <c r="P510" s="112">
        <v>4268</v>
      </c>
      <c r="Q510" s="112"/>
      <c r="R510" s="112">
        <v>23731</v>
      </c>
      <c r="S510" s="113">
        <v>3804.1</v>
      </c>
      <c r="T510" s="113"/>
      <c r="U510" s="113"/>
      <c r="V510" s="112">
        <v>166921</v>
      </c>
      <c r="W510" s="112">
        <v>105757</v>
      </c>
      <c r="X510" s="112">
        <v>73763</v>
      </c>
      <c r="Y510" s="112">
        <v>92778</v>
      </c>
      <c r="Z510" s="112">
        <v>132807</v>
      </c>
    </row>
    <row r="511" spans="1:26" ht="18" hidden="1" customHeight="1" x14ac:dyDescent="0.2">
      <c r="A511" s="46">
        <f t="shared" si="106"/>
        <v>43362</v>
      </c>
      <c r="B511" s="47" t="s">
        <v>98</v>
      </c>
      <c r="C511" s="48">
        <f t="shared" si="98"/>
        <v>2454</v>
      </c>
      <c r="D511" s="99">
        <f t="shared" si="103"/>
        <v>1440</v>
      </c>
      <c r="E511" s="45">
        <f t="shared" si="104"/>
        <v>957.99999999997817</v>
      </c>
      <c r="F511" s="45">
        <f t="shared" si="96"/>
        <v>129</v>
      </c>
      <c r="G511" s="79">
        <f t="shared" si="97"/>
        <v>4980.9999999999782</v>
      </c>
      <c r="H511" s="77">
        <v>4249</v>
      </c>
      <c r="I511" s="77">
        <v>876</v>
      </c>
      <c r="J511" s="80">
        <f t="shared" si="107"/>
        <v>5125</v>
      </c>
      <c r="K511" s="81">
        <f t="shared" si="99"/>
        <v>144.00000000002183</v>
      </c>
      <c r="L511" s="43"/>
      <c r="N511" s="112">
        <v>104337</v>
      </c>
      <c r="O511" s="112">
        <v>66810</v>
      </c>
      <c r="P511" s="112">
        <v>4281</v>
      </c>
      <c r="Q511" s="112"/>
      <c r="R511" s="112">
        <v>23768</v>
      </c>
      <c r="S511" s="113">
        <v>3811.9</v>
      </c>
      <c r="T511" s="113"/>
      <c r="U511" s="113"/>
      <c r="V511" s="112">
        <v>167202</v>
      </c>
      <c r="W511" s="112">
        <v>105795</v>
      </c>
      <c r="X511" s="112">
        <v>73789</v>
      </c>
      <c r="Y511" s="112">
        <v>92778</v>
      </c>
      <c r="Z511" s="112">
        <v>132917</v>
      </c>
    </row>
    <row r="512" spans="1:26" ht="18" hidden="1" customHeight="1" x14ac:dyDescent="0.2">
      <c r="A512" s="46">
        <f t="shared" si="106"/>
        <v>43363</v>
      </c>
      <c r="B512" s="47" t="s">
        <v>99</v>
      </c>
      <c r="C512" s="48">
        <f t="shared" si="98"/>
        <v>2847</v>
      </c>
      <c r="D512" s="99">
        <f t="shared" si="103"/>
        <v>1448</v>
      </c>
      <c r="E512" s="45">
        <f t="shared" si="104"/>
        <v>838.00000000003274</v>
      </c>
      <c r="F512" s="45">
        <f t="shared" si="96"/>
        <v>105</v>
      </c>
      <c r="G512" s="79">
        <f t="shared" si="97"/>
        <v>5238.0000000000327</v>
      </c>
      <c r="H512" s="77">
        <v>4412</v>
      </c>
      <c r="I512" s="77">
        <v>890</v>
      </c>
      <c r="J512" s="80">
        <f t="shared" si="107"/>
        <v>5302</v>
      </c>
      <c r="K512" s="81">
        <f t="shared" si="99"/>
        <v>63.999999999967258</v>
      </c>
      <c r="L512" s="43"/>
      <c r="N512" s="112">
        <v>104507</v>
      </c>
      <c r="O512" s="112">
        <v>66886</v>
      </c>
      <c r="P512" s="112">
        <v>4291</v>
      </c>
      <c r="Q512" s="112"/>
      <c r="R512" s="112">
        <v>23802</v>
      </c>
      <c r="S512" s="113">
        <v>3819.6</v>
      </c>
      <c r="T512" s="113"/>
      <c r="U512" s="113"/>
      <c r="V512" s="112">
        <v>167480</v>
      </c>
      <c r="W512" s="112">
        <v>105842</v>
      </c>
      <c r="X512" s="112">
        <v>73845</v>
      </c>
      <c r="Y512" s="112">
        <v>92778</v>
      </c>
      <c r="Z512" s="112">
        <v>133046</v>
      </c>
    </row>
    <row r="513" spans="1:26" ht="18" hidden="1" customHeight="1" x14ac:dyDescent="0.2">
      <c r="A513" s="46">
        <f t="shared" si="106"/>
        <v>43364</v>
      </c>
      <c r="B513" s="47" t="s">
        <v>100</v>
      </c>
      <c r="C513" s="48">
        <f t="shared" si="98"/>
        <v>0</v>
      </c>
      <c r="D513" s="99">
        <f t="shared" si="103"/>
        <v>0</v>
      </c>
      <c r="E513" s="45">
        <f t="shared" si="104"/>
        <v>0</v>
      </c>
      <c r="F513" s="45">
        <f t="shared" si="96"/>
        <v>0</v>
      </c>
      <c r="G513" s="79">
        <f t="shared" si="97"/>
        <v>0</v>
      </c>
      <c r="H513" s="77">
        <v>4003</v>
      </c>
      <c r="I513" s="77">
        <v>896</v>
      </c>
      <c r="J513" s="80">
        <f t="shared" si="107"/>
        <v>4899</v>
      </c>
      <c r="K513" s="81">
        <f t="shared" si="99"/>
        <v>4899</v>
      </c>
      <c r="L513" s="43"/>
      <c r="N513" s="112">
        <v>104677</v>
      </c>
      <c r="O513" s="112">
        <v>66951</v>
      </c>
      <c r="P513" s="112">
        <v>4302</v>
      </c>
      <c r="Q513" s="112"/>
      <c r="R513" s="112">
        <v>23836</v>
      </c>
      <c r="S513" s="113">
        <v>3826.3</v>
      </c>
      <c r="T513" s="113"/>
      <c r="U513" s="113"/>
      <c r="V513" s="112">
        <v>167807</v>
      </c>
      <c r="W513" s="112">
        <v>105893</v>
      </c>
      <c r="X513" s="112">
        <v>73919</v>
      </c>
      <c r="Y513" s="112">
        <v>92778</v>
      </c>
      <c r="Z513" s="112">
        <v>133151</v>
      </c>
    </row>
    <row r="514" spans="1:26" ht="18" hidden="1" customHeight="1" x14ac:dyDescent="0.2">
      <c r="A514" s="46">
        <f t="shared" si="106"/>
        <v>43365</v>
      </c>
      <c r="B514" s="56" t="s">
        <v>103</v>
      </c>
      <c r="C514" s="48">
        <f t="shared" si="98"/>
        <v>0</v>
      </c>
      <c r="D514" s="99">
        <f t="shared" si="103"/>
        <v>0</v>
      </c>
      <c r="E514" s="45">
        <f t="shared" si="104"/>
        <v>0</v>
      </c>
      <c r="F514" s="45">
        <f t="shared" si="96"/>
        <v>0</v>
      </c>
      <c r="G514" s="79">
        <f t="shared" si="97"/>
        <v>0</v>
      </c>
      <c r="H514" s="77">
        <v>0</v>
      </c>
      <c r="I514" s="77">
        <v>2596</v>
      </c>
      <c r="J514" s="80">
        <f t="shared" si="107"/>
        <v>2596</v>
      </c>
      <c r="K514" s="81">
        <f t="shared" si="99"/>
        <v>2596</v>
      </c>
      <c r="L514" s="43"/>
      <c r="N514" s="153">
        <v>104677</v>
      </c>
      <c r="O514" s="153">
        <v>66951</v>
      </c>
      <c r="P514" s="153">
        <v>4302</v>
      </c>
      <c r="Q514" s="153"/>
      <c r="R514" s="153">
        <v>23836</v>
      </c>
      <c r="S514" s="154">
        <v>3826.3</v>
      </c>
      <c r="T514" s="154"/>
      <c r="U514" s="154"/>
      <c r="V514" s="153">
        <v>167807</v>
      </c>
      <c r="W514" s="153">
        <v>105893</v>
      </c>
      <c r="X514" s="153">
        <v>73919</v>
      </c>
      <c r="Y514" s="153">
        <v>92778</v>
      </c>
      <c r="Z514" s="153">
        <v>133151</v>
      </c>
    </row>
    <row r="515" spans="1:26" ht="18" hidden="1" customHeight="1" x14ac:dyDescent="0.2">
      <c r="A515" s="46">
        <f t="shared" si="106"/>
        <v>43366</v>
      </c>
      <c r="B515" s="56" t="s">
        <v>104</v>
      </c>
      <c r="C515" s="48">
        <f t="shared" si="98"/>
        <v>0</v>
      </c>
      <c r="D515" s="99">
        <f t="shared" si="103"/>
        <v>0</v>
      </c>
      <c r="E515" s="45">
        <f t="shared" si="104"/>
        <v>0</v>
      </c>
      <c r="F515" s="45">
        <f t="shared" si="96"/>
        <v>0</v>
      </c>
      <c r="G515" s="79">
        <f t="shared" si="97"/>
        <v>0</v>
      </c>
      <c r="H515" s="77">
        <v>0</v>
      </c>
      <c r="I515" s="77">
        <v>2900</v>
      </c>
      <c r="J515" s="80">
        <f t="shared" si="107"/>
        <v>2900</v>
      </c>
      <c r="K515" s="81">
        <f t="shared" si="99"/>
        <v>2900</v>
      </c>
      <c r="L515" s="43"/>
      <c r="N515" s="153">
        <v>104677</v>
      </c>
      <c r="O515" s="153">
        <v>66951</v>
      </c>
      <c r="P515" s="153">
        <v>4302</v>
      </c>
      <c r="Q515" s="153"/>
      <c r="R515" s="153">
        <v>23836</v>
      </c>
      <c r="S515" s="154">
        <v>3826.3</v>
      </c>
      <c r="T515" s="154"/>
      <c r="U515" s="154"/>
      <c r="V515" s="153">
        <v>167807</v>
      </c>
      <c r="W515" s="153">
        <v>105893</v>
      </c>
      <c r="X515" s="153">
        <v>73919</v>
      </c>
      <c r="Y515" s="153">
        <v>92778</v>
      </c>
      <c r="Z515" s="153">
        <v>133151</v>
      </c>
    </row>
    <row r="516" spans="1:26" ht="18" hidden="1" customHeight="1" x14ac:dyDescent="0.2">
      <c r="A516" s="46">
        <f t="shared" si="106"/>
        <v>43367</v>
      </c>
      <c r="B516" s="56" t="s">
        <v>105</v>
      </c>
      <c r="C516" s="48">
        <f t="shared" si="98"/>
        <v>3857</v>
      </c>
      <c r="D516" s="99">
        <f t="shared" si="103"/>
        <v>4608</v>
      </c>
      <c r="E516" s="45">
        <f t="shared" si="104"/>
        <v>4086.9999999999563</v>
      </c>
      <c r="F516" s="45">
        <f t="shared" si="96"/>
        <v>406</v>
      </c>
      <c r="G516" s="79">
        <f t="shared" si="97"/>
        <v>12957.999999999956</v>
      </c>
      <c r="H516" s="77">
        <v>0</v>
      </c>
      <c r="I516" s="77">
        <v>3004</v>
      </c>
      <c r="J516" s="80">
        <f t="shared" si="107"/>
        <v>3004</v>
      </c>
      <c r="K516" s="81">
        <f t="shared" si="99"/>
        <v>-9953.9999999999563</v>
      </c>
      <c r="L516" s="43"/>
      <c r="N516" s="153">
        <v>104677</v>
      </c>
      <c r="O516" s="153">
        <v>66951</v>
      </c>
      <c r="P516" s="153">
        <v>4302</v>
      </c>
      <c r="Q516" s="153"/>
      <c r="R516" s="153">
        <v>23836</v>
      </c>
      <c r="S516" s="154">
        <v>3826.3</v>
      </c>
      <c r="T516" s="154"/>
      <c r="U516" s="154"/>
      <c r="V516" s="153">
        <v>167807</v>
      </c>
      <c r="W516" s="153">
        <v>105893</v>
      </c>
      <c r="X516" s="153">
        <v>73919</v>
      </c>
      <c r="Y516" s="153">
        <v>92778</v>
      </c>
      <c r="Z516" s="153">
        <v>133151</v>
      </c>
    </row>
    <row r="517" spans="1:26" ht="18" hidden="1" customHeight="1" x14ac:dyDescent="0.2">
      <c r="A517" s="46">
        <f t="shared" si="106"/>
        <v>43368</v>
      </c>
      <c r="B517" s="47" t="s">
        <v>97</v>
      </c>
      <c r="C517" s="48">
        <f t="shared" si="98"/>
        <v>2504</v>
      </c>
      <c r="D517" s="99">
        <f t="shared" si="103"/>
        <v>1440</v>
      </c>
      <c r="E517" s="45">
        <f t="shared" si="104"/>
        <v>1127.0000000000437</v>
      </c>
      <c r="F517" s="45">
        <f t="shared" si="96"/>
        <v>121</v>
      </c>
      <c r="G517" s="79">
        <f t="shared" si="97"/>
        <v>5192.0000000000437</v>
      </c>
      <c r="H517" s="77">
        <v>4343</v>
      </c>
      <c r="I517" s="77">
        <v>843</v>
      </c>
      <c r="J517" s="80">
        <f t="shared" si="107"/>
        <v>5186</v>
      </c>
      <c r="K517" s="81">
        <f t="shared" si="99"/>
        <v>-6.0000000000436557</v>
      </c>
      <c r="L517" s="43"/>
      <c r="N517" s="112">
        <v>105217</v>
      </c>
      <c r="O517" s="112">
        <v>67159</v>
      </c>
      <c r="P517" s="112">
        <v>4338</v>
      </c>
      <c r="Q517" s="112"/>
      <c r="R517" s="112">
        <v>23975</v>
      </c>
      <c r="S517" s="113">
        <v>3859.2</v>
      </c>
      <c r="T517" s="113"/>
      <c r="U517" s="113"/>
      <c r="V517" s="112">
        <v>168784</v>
      </c>
      <c r="W517" s="112">
        <v>105962</v>
      </c>
      <c r="X517" s="112">
        <v>73975</v>
      </c>
      <c r="Y517" s="112">
        <v>92778</v>
      </c>
      <c r="Z517" s="112">
        <v>133557</v>
      </c>
    </row>
    <row r="518" spans="1:26" ht="18" hidden="1" customHeight="1" x14ac:dyDescent="0.2">
      <c r="A518" s="46">
        <f t="shared" si="106"/>
        <v>43369</v>
      </c>
      <c r="B518" s="47" t="s">
        <v>98</v>
      </c>
      <c r="C518" s="48">
        <f t="shared" si="98"/>
        <v>2301</v>
      </c>
      <c r="D518" s="99">
        <f t="shared" si="103"/>
        <v>1352</v>
      </c>
      <c r="E518" s="45">
        <f t="shared" si="104"/>
        <v>1077.9999999999782</v>
      </c>
      <c r="F518" s="45">
        <f t="shared" si="96"/>
        <v>95</v>
      </c>
      <c r="G518" s="79">
        <f t="shared" si="97"/>
        <v>4825.9999999999782</v>
      </c>
      <c r="H518" s="77">
        <v>3923</v>
      </c>
      <c r="I518" s="77">
        <v>865</v>
      </c>
      <c r="J518" s="80">
        <f t="shared" si="107"/>
        <v>4788</v>
      </c>
      <c r="K518" s="81">
        <f t="shared" si="99"/>
        <v>-37.999999999978172</v>
      </c>
      <c r="L518" s="43"/>
      <c r="N518" s="112">
        <v>105387</v>
      </c>
      <c r="O518" s="112">
        <v>67222</v>
      </c>
      <c r="P518" s="112">
        <v>4348</v>
      </c>
      <c r="Q518" s="112"/>
      <c r="R518" s="112">
        <v>24010</v>
      </c>
      <c r="S518" s="113">
        <v>3868.3</v>
      </c>
      <c r="T518" s="113"/>
      <c r="U518" s="113"/>
      <c r="V518" s="112">
        <v>168776</v>
      </c>
      <c r="W518" s="112">
        <v>106003</v>
      </c>
      <c r="X518" s="112">
        <v>74075</v>
      </c>
      <c r="Y518" s="112">
        <v>92778</v>
      </c>
      <c r="Z518" s="112">
        <v>133678</v>
      </c>
    </row>
    <row r="519" spans="1:26" ht="18" hidden="1" customHeight="1" x14ac:dyDescent="0.2">
      <c r="A519" s="46">
        <f t="shared" si="106"/>
        <v>43370</v>
      </c>
      <c r="B519" s="47" t="s">
        <v>99</v>
      </c>
      <c r="C519" s="48">
        <f t="shared" si="98"/>
        <v>1819</v>
      </c>
      <c r="D519" s="99">
        <f t="shared" si="103"/>
        <v>1544</v>
      </c>
      <c r="E519" s="45">
        <f t="shared" si="104"/>
        <v>898.99999999997817</v>
      </c>
      <c r="F519" s="45">
        <f t="shared" si="96"/>
        <v>88</v>
      </c>
      <c r="G519" s="79">
        <f t="shared" si="97"/>
        <v>4349.9999999999782</v>
      </c>
      <c r="H519" s="77">
        <v>4094</v>
      </c>
      <c r="I519" s="77">
        <v>868</v>
      </c>
      <c r="J519" s="80">
        <f t="shared" si="107"/>
        <v>4962</v>
      </c>
      <c r="K519" s="81">
        <f t="shared" si="99"/>
        <v>612.00000000002183</v>
      </c>
      <c r="L519" s="43"/>
      <c r="N519" s="112">
        <v>105547</v>
      </c>
      <c r="O519" s="112">
        <v>67285</v>
      </c>
      <c r="P519" s="112">
        <v>4357</v>
      </c>
      <c r="Q519" s="112"/>
      <c r="R519" s="112">
        <v>24044</v>
      </c>
      <c r="S519" s="113">
        <v>3877</v>
      </c>
      <c r="T519" s="113"/>
      <c r="U519" s="113"/>
      <c r="V519" s="112">
        <v>168941</v>
      </c>
      <c r="W519" s="112">
        <v>106039</v>
      </c>
      <c r="X519" s="112">
        <v>74157</v>
      </c>
      <c r="Y519" s="112">
        <v>92778</v>
      </c>
      <c r="Z519" s="112">
        <v>133773</v>
      </c>
    </row>
    <row r="520" spans="1:26" ht="18" hidden="1" customHeight="1" x14ac:dyDescent="0.2">
      <c r="A520" s="46">
        <f t="shared" si="106"/>
        <v>43371</v>
      </c>
      <c r="B520" s="47" t="s">
        <v>100</v>
      </c>
      <c r="C520" s="48">
        <f t="shared" si="98"/>
        <v>0</v>
      </c>
      <c r="D520" s="99">
        <f t="shared" si="103"/>
        <v>0</v>
      </c>
      <c r="E520" s="45">
        <f t="shared" si="104"/>
        <v>0</v>
      </c>
      <c r="F520" s="45">
        <f t="shared" si="96"/>
        <v>0</v>
      </c>
      <c r="G520" s="79">
        <f t="shared" si="97"/>
        <v>0</v>
      </c>
      <c r="H520" s="77">
        <v>4183</v>
      </c>
      <c r="I520" s="77">
        <v>871</v>
      </c>
      <c r="J520" s="80">
        <f t="shared" si="107"/>
        <v>5054</v>
      </c>
      <c r="K520" s="81">
        <f t="shared" si="99"/>
        <v>5054</v>
      </c>
      <c r="L520" s="43"/>
      <c r="N520" s="112">
        <v>105727</v>
      </c>
      <c r="O520" s="112">
        <v>67351</v>
      </c>
      <c r="P520" s="112">
        <v>4370</v>
      </c>
      <c r="Q520" s="112"/>
      <c r="R520" s="112">
        <v>24079</v>
      </c>
      <c r="S520" s="113">
        <v>3884.2</v>
      </c>
      <c r="T520" s="113"/>
      <c r="U520" s="113"/>
      <c r="V520" s="112">
        <v>169184</v>
      </c>
      <c r="W520" s="112">
        <v>106077</v>
      </c>
      <c r="X520" s="112">
        <v>74187</v>
      </c>
      <c r="Y520" s="112">
        <v>92778</v>
      </c>
      <c r="Z520" s="112">
        <v>133861</v>
      </c>
    </row>
    <row r="521" spans="1:26" ht="18" hidden="1" customHeight="1" x14ac:dyDescent="0.2">
      <c r="A521" s="46">
        <f t="shared" si="106"/>
        <v>43372</v>
      </c>
      <c r="B521" s="47" t="s">
        <v>101</v>
      </c>
      <c r="C521" s="48">
        <f t="shared" si="98"/>
        <v>0</v>
      </c>
      <c r="D521" s="99">
        <f t="shared" si="103"/>
        <v>0</v>
      </c>
      <c r="E521" s="45">
        <f t="shared" si="104"/>
        <v>0</v>
      </c>
      <c r="F521" s="45">
        <f t="shared" si="96"/>
        <v>0</v>
      </c>
      <c r="G521" s="79">
        <f t="shared" si="97"/>
        <v>0</v>
      </c>
      <c r="H521" s="77">
        <v>0</v>
      </c>
      <c r="I521" s="77">
        <v>2573</v>
      </c>
      <c r="J521" s="80">
        <f t="shared" si="107"/>
        <v>2573</v>
      </c>
      <c r="K521" s="81">
        <f t="shared" si="99"/>
        <v>2573</v>
      </c>
      <c r="L521" s="43"/>
      <c r="N521" s="153">
        <v>105727</v>
      </c>
      <c r="O521" s="153">
        <v>67351</v>
      </c>
      <c r="P521" s="153">
        <v>4370</v>
      </c>
      <c r="Q521" s="153"/>
      <c r="R521" s="153">
        <v>24079</v>
      </c>
      <c r="S521" s="154">
        <v>3884.2</v>
      </c>
      <c r="T521" s="154"/>
      <c r="U521" s="154"/>
      <c r="V521" s="153">
        <v>169184</v>
      </c>
      <c r="W521" s="153">
        <v>106077</v>
      </c>
      <c r="X521" s="153">
        <v>74187</v>
      </c>
      <c r="Y521" s="153">
        <v>92778</v>
      </c>
      <c r="Z521" s="153">
        <v>133861</v>
      </c>
    </row>
    <row r="522" spans="1:26" ht="18" hidden="1" customHeight="1" x14ac:dyDescent="0.2">
      <c r="A522" s="46">
        <f t="shared" si="106"/>
        <v>43373</v>
      </c>
      <c r="B522" s="47" t="s">
        <v>95</v>
      </c>
      <c r="C522" s="48">
        <f t="shared" ref="C522:C585" si="108">(V523-V522)*1+(W523-W522)*32+(X523-X522)*12+(Y523-Y522)*6</f>
        <v>3243</v>
      </c>
      <c r="D522" s="99">
        <f t="shared" si="103"/>
        <v>3280</v>
      </c>
      <c r="E522" s="45">
        <f t="shared" si="104"/>
        <v>3077.0000000000218</v>
      </c>
      <c r="F522" s="45">
        <f t="shared" ref="F522:F585" si="109">(Z523-Z522)*1</f>
        <v>260</v>
      </c>
      <c r="G522" s="79">
        <f t="shared" ref="G522:G585" si="110">C522+D522+F522+E522</f>
        <v>9860.0000000000218</v>
      </c>
      <c r="H522" s="77">
        <v>0</v>
      </c>
      <c r="I522" s="77">
        <v>2756</v>
      </c>
      <c r="J522" s="80">
        <f t="shared" si="107"/>
        <v>2756</v>
      </c>
      <c r="K522" s="81">
        <f t="shared" ref="K522:K585" si="111">J522-G522</f>
        <v>-7104.0000000000218</v>
      </c>
      <c r="L522" s="43"/>
      <c r="N522" s="153">
        <v>105727</v>
      </c>
      <c r="O522" s="153">
        <v>67351</v>
      </c>
      <c r="P522" s="153">
        <v>4370</v>
      </c>
      <c r="Q522" s="153"/>
      <c r="R522" s="153">
        <v>24079</v>
      </c>
      <c r="S522" s="154">
        <v>3884.2</v>
      </c>
      <c r="T522" s="154"/>
      <c r="U522" s="154"/>
      <c r="V522" s="153">
        <v>169184</v>
      </c>
      <c r="W522" s="153">
        <v>106077</v>
      </c>
      <c r="X522" s="153">
        <v>74187</v>
      </c>
      <c r="Y522" s="153">
        <v>92778</v>
      </c>
      <c r="Z522" s="153">
        <v>133861</v>
      </c>
    </row>
    <row r="523" spans="1:26" ht="18" hidden="1" customHeight="1" x14ac:dyDescent="0.2">
      <c r="A523" s="46">
        <f t="shared" si="106"/>
        <v>43374</v>
      </c>
      <c r="B523" s="47" t="s">
        <v>96</v>
      </c>
      <c r="C523" s="48">
        <f t="shared" si="108"/>
        <v>2210</v>
      </c>
      <c r="D523" s="99">
        <f t="shared" si="103"/>
        <v>1208</v>
      </c>
      <c r="E523" s="45">
        <f t="shared" si="104"/>
        <v>1224.0000000000109</v>
      </c>
      <c r="F523" s="45">
        <f t="shared" si="109"/>
        <v>83</v>
      </c>
      <c r="G523" s="79">
        <f t="shared" si="110"/>
        <v>4725.0000000000109</v>
      </c>
      <c r="H523" s="77">
        <v>4191</v>
      </c>
      <c r="I523" s="77">
        <v>848</v>
      </c>
      <c r="J523" s="80">
        <f>H523+I523</f>
        <v>5039</v>
      </c>
      <c r="K523" s="81">
        <f t="shared" si="111"/>
        <v>313.99999999998909</v>
      </c>
      <c r="L523" s="43"/>
      <c r="N523" s="112">
        <v>106117</v>
      </c>
      <c r="O523" s="112">
        <v>67499</v>
      </c>
      <c r="P523" s="112">
        <v>4390</v>
      </c>
      <c r="Q523" s="112"/>
      <c r="R523" s="112">
        <v>24180</v>
      </c>
      <c r="S523" s="113">
        <v>3909</v>
      </c>
      <c r="T523" s="113"/>
      <c r="U523" s="113"/>
      <c r="V523" s="112">
        <v>169683</v>
      </c>
      <c r="W523" s="112">
        <v>106135</v>
      </c>
      <c r="X523" s="112">
        <v>74261</v>
      </c>
      <c r="Y523" s="112">
        <v>92778</v>
      </c>
      <c r="Z523" s="112">
        <v>134121</v>
      </c>
    </row>
    <row r="524" spans="1:26" ht="18" hidden="1" customHeight="1" x14ac:dyDescent="0.2">
      <c r="A524" s="46">
        <f t="shared" si="106"/>
        <v>43375</v>
      </c>
      <c r="B524" s="47" t="s">
        <v>97</v>
      </c>
      <c r="C524" s="48">
        <f t="shared" si="108"/>
        <v>2154</v>
      </c>
      <c r="D524" s="99">
        <f t="shared" si="103"/>
        <v>1536</v>
      </c>
      <c r="E524" s="45">
        <f t="shared" si="104"/>
        <v>1103.0000000000109</v>
      </c>
      <c r="F524" s="45">
        <f t="shared" si="109"/>
        <v>70</v>
      </c>
      <c r="G524" s="79">
        <f t="shared" si="110"/>
        <v>4863.0000000000109</v>
      </c>
      <c r="H524" s="77">
        <v>4012</v>
      </c>
      <c r="I524" s="77">
        <v>824</v>
      </c>
      <c r="J524" s="80">
        <f t="shared" ref="J524:J553" si="112">H524+I524</f>
        <v>4836</v>
      </c>
      <c r="K524" s="81">
        <f t="shared" si="111"/>
        <v>-27.000000000010914</v>
      </c>
      <c r="L524" s="43"/>
      <c r="N524" s="112">
        <v>106257</v>
      </c>
      <c r="O524" s="112">
        <v>67558</v>
      </c>
      <c r="P524" s="112">
        <v>4401</v>
      </c>
      <c r="Q524" s="112"/>
      <c r="R524" s="112">
        <v>24216</v>
      </c>
      <c r="S524" s="113">
        <v>3918.9</v>
      </c>
      <c r="T524" s="113"/>
      <c r="U524" s="113"/>
      <c r="V524" s="112">
        <v>169889</v>
      </c>
      <c r="W524" s="112">
        <v>106171</v>
      </c>
      <c r="X524" s="112">
        <v>74332</v>
      </c>
      <c r="Y524" s="112">
        <v>92778</v>
      </c>
      <c r="Z524" s="112">
        <v>134204</v>
      </c>
    </row>
    <row r="525" spans="1:26" ht="18" hidden="1" customHeight="1" x14ac:dyDescent="0.2">
      <c r="A525" s="46">
        <f t="shared" si="106"/>
        <v>43376</v>
      </c>
      <c r="B525" s="47" t="s">
        <v>98</v>
      </c>
      <c r="C525" s="48">
        <f t="shared" si="108"/>
        <v>2289</v>
      </c>
      <c r="D525" s="99">
        <f t="shared" si="103"/>
        <v>1352</v>
      </c>
      <c r="E525" s="45">
        <f t="shared" si="104"/>
        <v>1112</v>
      </c>
      <c r="F525" s="45">
        <f t="shared" si="109"/>
        <v>69</v>
      </c>
      <c r="G525" s="79">
        <f t="shared" si="110"/>
        <v>4822</v>
      </c>
      <c r="H525" s="77">
        <v>4157</v>
      </c>
      <c r="I525" s="77">
        <v>859</v>
      </c>
      <c r="J525" s="80">
        <f t="shared" si="112"/>
        <v>5016</v>
      </c>
      <c r="K525" s="81">
        <f t="shared" si="111"/>
        <v>194</v>
      </c>
      <c r="L525" s="43"/>
      <c r="N525" s="112">
        <v>106437</v>
      </c>
      <c r="O525" s="112">
        <v>67622</v>
      </c>
      <c r="P525" s="112">
        <v>4413</v>
      </c>
      <c r="Q525" s="112"/>
      <c r="R525" s="112">
        <v>24251</v>
      </c>
      <c r="S525" s="113">
        <v>3927.8</v>
      </c>
      <c r="T525" s="113"/>
      <c r="U525" s="113"/>
      <c r="V525" s="112">
        <v>170095</v>
      </c>
      <c r="W525" s="112">
        <v>106206</v>
      </c>
      <c r="X525" s="112">
        <v>74401</v>
      </c>
      <c r="Y525" s="112">
        <v>92778</v>
      </c>
      <c r="Z525" s="112">
        <v>134274</v>
      </c>
    </row>
    <row r="526" spans="1:26" ht="18" hidden="1" customHeight="1" x14ac:dyDescent="0.2">
      <c r="A526" s="46">
        <f t="shared" si="106"/>
        <v>43377</v>
      </c>
      <c r="B526" s="47" t="s">
        <v>99</v>
      </c>
      <c r="C526" s="48">
        <f t="shared" si="108"/>
        <v>1977</v>
      </c>
      <c r="D526" s="99">
        <f t="shared" si="103"/>
        <v>1432</v>
      </c>
      <c r="E526" s="45">
        <f t="shared" si="104"/>
        <v>1089.9999999999673</v>
      </c>
      <c r="F526" s="45">
        <f t="shared" si="109"/>
        <v>74</v>
      </c>
      <c r="G526" s="79">
        <f t="shared" si="110"/>
        <v>4572.9999999999673</v>
      </c>
      <c r="H526" s="77">
        <v>3946</v>
      </c>
      <c r="I526" s="77">
        <v>828</v>
      </c>
      <c r="J526" s="80">
        <f t="shared" si="112"/>
        <v>4774</v>
      </c>
      <c r="K526" s="81">
        <f t="shared" si="111"/>
        <v>201.00000000003274</v>
      </c>
      <c r="L526" s="43"/>
      <c r="N526" s="112">
        <v>106597</v>
      </c>
      <c r="O526" s="112">
        <v>67683</v>
      </c>
      <c r="P526" s="112">
        <v>4422</v>
      </c>
      <c r="Q526" s="112"/>
      <c r="R526" s="112">
        <v>24283</v>
      </c>
      <c r="S526" s="113">
        <v>3936.8</v>
      </c>
      <c r="T526" s="113"/>
      <c r="U526" s="113"/>
      <c r="V526" s="112">
        <v>170312</v>
      </c>
      <c r="W526" s="112">
        <v>106243</v>
      </c>
      <c r="X526" s="112">
        <v>74475</v>
      </c>
      <c r="Y526" s="112">
        <v>92778</v>
      </c>
      <c r="Z526" s="112">
        <v>134343</v>
      </c>
    </row>
    <row r="527" spans="1:26" ht="18" hidden="1" customHeight="1" x14ac:dyDescent="0.2">
      <c r="A527" s="46">
        <f t="shared" si="106"/>
        <v>43378</v>
      </c>
      <c r="B527" s="47" t="s">
        <v>100</v>
      </c>
      <c r="C527" s="48">
        <f t="shared" si="108"/>
        <v>0</v>
      </c>
      <c r="D527" s="99">
        <f t="shared" si="103"/>
        <v>0</v>
      </c>
      <c r="E527" s="45">
        <f t="shared" si="104"/>
        <v>0</v>
      </c>
      <c r="F527" s="45">
        <f t="shared" si="109"/>
        <v>0</v>
      </c>
      <c r="G527" s="79">
        <f t="shared" si="110"/>
        <v>0</v>
      </c>
      <c r="H527" s="77">
        <v>4117</v>
      </c>
      <c r="I527" s="77">
        <v>778</v>
      </c>
      <c r="J527" s="80">
        <f t="shared" si="112"/>
        <v>4895</v>
      </c>
      <c r="K527" s="81">
        <f t="shared" si="111"/>
        <v>4895</v>
      </c>
      <c r="L527" s="43"/>
      <c r="N527" s="112">
        <v>106767</v>
      </c>
      <c r="O527" s="112">
        <v>67742</v>
      </c>
      <c r="P527" s="112">
        <v>4431</v>
      </c>
      <c r="Q527" s="112"/>
      <c r="R527" s="112">
        <v>24317</v>
      </c>
      <c r="S527" s="113">
        <v>3945.6</v>
      </c>
      <c r="T527" s="113"/>
      <c r="U527" s="113"/>
      <c r="V527" s="112">
        <v>170505</v>
      </c>
      <c r="W527" s="112">
        <v>106274</v>
      </c>
      <c r="X527" s="112">
        <v>74541</v>
      </c>
      <c r="Y527" s="112">
        <v>92778</v>
      </c>
      <c r="Z527" s="112">
        <v>134417</v>
      </c>
    </row>
    <row r="528" spans="1:26" ht="18" hidden="1" customHeight="1" x14ac:dyDescent="0.2">
      <c r="A528" s="46">
        <f t="shared" si="106"/>
        <v>43379</v>
      </c>
      <c r="B528" s="47" t="s">
        <v>101</v>
      </c>
      <c r="C528" s="48">
        <f t="shared" si="108"/>
        <v>0</v>
      </c>
      <c r="D528" s="99">
        <f t="shared" si="103"/>
        <v>0</v>
      </c>
      <c r="E528" s="45">
        <f t="shared" si="104"/>
        <v>0</v>
      </c>
      <c r="F528" s="45">
        <f t="shared" si="109"/>
        <v>0</v>
      </c>
      <c r="G528" s="79">
        <f t="shared" si="110"/>
        <v>0</v>
      </c>
      <c r="H528" s="77">
        <v>0</v>
      </c>
      <c r="I528" s="77">
        <v>4652</v>
      </c>
      <c r="J528" s="80">
        <f t="shared" si="112"/>
        <v>4652</v>
      </c>
      <c r="K528" s="81">
        <f t="shared" si="111"/>
        <v>4652</v>
      </c>
      <c r="L528" s="43"/>
      <c r="N528" s="153">
        <v>106767</v>
      </c>
      <c r="O528" s="153">
        <v>67742</v>
      </c>
      <c r="P528" s="153">
        <v>4431</v>
      </c>
      <c r="Q528" s="153"/>
      <c r="R528" s="153">
        <v>24317</v>
      </c>
      <c r="S528" s="154">
        <v>3945.6</v>
      </c>
      <c r="T528" s="154"/>
      <c r="U528" s="154"/>
      <c r="V528" s="153">
        <v>170505</v>
      </c>
      <c r="W528" s="153">
        <v>106274</v>
      </c>
      <c r="X528" s="153">
        <v>74541</v>
      </c>
      <c r="Y528" s="153">
        <v>92778</v>
      </c>
      <c r="Z528" s="153">
        <v>134417</v>
      </c>
    </row>
    <row r="529" spans="1:26" ht="18" hidden="1" customHeight="1" x14ac:dyDescent="0.2">
      <c r="A529" s="46">
        <f t="shared" si="106"/>
        <v>43380</v>
      </c>
      <c r="B529" s="47" t="s">
        <v>95</v>
      </c>
      <c r="C529" s="48">
        <f t="shared" si="108"/>
        <v>4700</v>
      </c>
      <c r="D529" s="99">
        <f t="shared" si="103"/>
        <v>3752</v>
      </c>
      <c r="E529" s="45">
        <f t="shared" si="104"/>
        <v>3456.9999999999891</v>
      </c>
      <c r="F529" s="45">
        <f t="shared" si="109"/>
        <v>237</v>
      </c>
      <c r="G529" s="79">
        <f t="shared" si="110"/>
        <v>12145.999999999989</v>
      </c>
      <c r="H529" s="77">
        <v>0</v>
      </c>
      <c r="I529" s="77">
        <v>3021</v>
      </c>
      <c r="J529" s="80">
        <f t="shared" si="112"/>
        <v>3021</v>
      </c>
      <c r="K529" s="81">
        <f t="shared" si="111"/>
        <v>-9124.9999999999891</v>
      </c>
      <c r="L529" s="43"/>
      <c r="N529" s="153">
        <v>106767</v>
      </c>
      <c r="O529" s="153">
        <v>67742</v>
      </c>
      <c r="P529" s="153">
        <v>4431</v>
      </c>
      <c r="Q529" s="153"/>
      <c r="R529" s="153">
        <v>24317</v>
      </c>
      <c r="S529" s="154">
        <v>3945.6</v>
      </c>
      <c r="T529" s="154"/>
      <c r="U529" s="154"/>
      <c r="V529" s="153">
        <v>170505</v>
      </c>
      <c r="W529" s="153">
        <v>106274</v>
      </c>
      <c r="X529" s="153">
        <v>74541</v>
      </c>
      <c r="Y529" s="153">
        <v>92778</v>
      </c>
      <c r="Z529" s="153">
        <v>134417</v>
      </c>
    </row>
    <row r="530" spans="1:26" ht="18" hidden="1" customHeight="1" x14ac:dyDescent="0.2">
      <c r="A530" s="46">
        <f t="shared" si="106"/>
        <v>43381</v>
      </c>
      <c r="B530" s="47" t="s">
        <v>96</v>
      </c>
      <c r="C530" s="48">
        <f t="shared" si="108"/>
        <v>1974</v>
      </c>
      <c r="D530" s="99">
        <f t="shared" si="103"/>
        <v>1408</v>
      </c>
      <c r="E530" s="45">
        <f t="shared" si="104"/>
        <v>1324.0000000000218</v>
      </c>
      <c r="F530" s="45">
        <f t="shared" si="109"/>
        <v>70</v>
      </c>
      <c r="G530" s="79">
        <f t="shared" si="110"/>
        <v>4776.0000000000218</v>
      </c>
      <c r="H530" s="77">
        <v>4261</v>
      </c>
      <c r="I530" s="77">
        <v>805</v>
      </c>
      <c r="J530" s="80">
        <f t="shared" si="112"/>
        <v>5066</v>
      </c>
      <c r="K530" s="81">
        <f t="shared" si="111"/>
        <v>289.99999999997817</v>
      </c>
      <c r="L530" s="43"/>
      <c r="N530" s="112">
        <v>107217</v>
      </c>
      <c r="O530" s="112">
        <v>67907</v>
      </c>
      <c r="P530" s="112">
        <v>4450</v>
      </c>
      <c r="Q530" s="112"/>
      <c r="R530" s="112">
        <v>24402</v>
      </c>
      <c r="S530" s="113">
        <v>3973.7</v>
      </c>
      <c r="T530" s="113"/>
      <c r="U530" s="113"/>
      <c r="V530" s="112">
        <v>171081</v>
      </c>
      <c r="W530" s="112">
        <v>106350</v>
      </c>
      <c r="X530" s="112">
        <v>74682</v>
      </c>
      <c r="Y530" s="112">
        <v>92778</v>
      </c>
      <c r="Z530" s="112">
        <v>134654</v>
      </c>
    </row>
    <row r="531" spans="1:26" ht="18" hidden="1" customHeight="1" x14ac:dyDescent="0.2">
      <c r="A531" s="46">
        <f t="shared" si="106"/>
        <v>43382</v>
      </c>
      <c r="B531" s="47" t="s">
        <v>97</v>
      </c>
      <c r="C531" s="48">
        <f t="shared" si="108"/>
        <v>0</v>
      </c>
      <c r="D531" s="99">
        <f t="shared" si="103"/>
        <v>0</v>
      </c>
      <c r="E531" s="45">
        <f t="shared" si="104"/>
        <v>0</v>
      </c>
      <c r="F531" s="45">
        <f t="shared" si="109"/>
        <v>0</v>
      </c>
      <c r="G531" s="79">
        <f t="shared" si="110"/>
        <v>0</v>
      </c>
      <c r="H531" s="77">
        <v>4003</v>
      </c>
      <c r="I531" s="77">
        <v>824</v>
      </c>
      <c r="J531" s="80">
        <f t="shared" si="112"/>
        <v>4827</v>
      </c>
      <c r="K531" s="81">
        <f t="shared" si="111"/>
        <v>4827</v>
      </c>
      <c r="L531" s="43"/>
      <c r="N531" s="112">
        <v>107377</v>
      </c>
      <c r="O531" s="112">
        <v>67969</v>
      </c>
      <c r="P531" s="112">
        <v>4466</v>
      </c>
      <c r="Q531" s="112"/>
      <c r="R531" s="112">
        <v>24430</v>
      </c>
      <c r="S531" s="113">
        <v>3984.5</v>
      </c>
      <c r="T531" s="113"/>
      <c r="U531" s="113"/>
      <c r="V531" s="112">
        <v>171299</v>
      </c>
      <c r="W531" s="112">
        <v>106385</v>
      </c>
      <c r="X531" s="112">
        <v>74735</v>
      </c>
      <c r="Y531" s="112">
        <v>92778</v>
      </c>
      <c r="Z531" s="112">
        <v>134724</v>
      </c>
    </row>
    <row r="532" spans="1:26" ht="18" hidden="1" customHeight="1" x14ac:dyDescent="0.2">
      <c r="A532" s="46">
        <f t="shared" si="106"/>
        <v>43383</v>
      </c>
      <c r="B532" s="47" t="s">
        <v>98</v>
      </c>
      <c r="C532" s="48">
        <f t="shared" si="108"/>
        <v>2907</v>
      </c>
      <c r="D532" s="99">
        <f t="shared" si="103"/>
        <v>2440</v>
      </c>
      <c r="E532" s="45">
        <f t="shared" si="104"/>
        <v>2069.0000000000218</v>
      </c>
      <c r="F532" s="45">
        <f t="shared" si="109"/>
        <v>192</v>
      </c>
      <c r="G532" s="79">
        <f t="shared" si="110"/>
        <v>7608.0000000000218</v>
      </c>
      <c r="H532" s="77">
        <v>0</v>
      </c>
      <c r="I532" s="77">
        <v>2922</v>
      </c>
      <c r="J532" s="80">
        <f t="shared" si="112"/>
        <v>2922</v>
      </c>
      <c r="K532" s="81">
        <f t="shared" si="111"/>
        <v>-4686.0000000000218</v>
      </c>
      <c r="L532" s="43"/>
      <c r="N532" s="160">
        <v>107377</v>
      </c>
      <c r="O532" s="160">
        <v>67969</v>
      </c>
      <c r="P532" s="160">
        <v>4466</v>
      </c>
      <c r="Q532" s="160"/>
      <c r="R532" s="160">
        <v>24430</v>
      </c>
      <c r="S532" s="161">
        <v>3984.5</v>
      </c>
      <c r="T532" s="161"/>
      <c r="U532" s="161"/>
      <c r="V532" s="160">
        <v>171299</v>
      </c>
      <c r="W532" s="160">
        <v>106385</v>
      </c>
      <c r="X532" s="160">
        <v>74735</v>
      </c>
      <c r="Y532" s="160">
        <v>92778</v>
      </c>
      <c r="Z532" s="160">
        <v>134724</v>
      </c>
    </row>
    <row r="533" spans="1:26" ht="18" hidden="1" customHeight="1" x14ac:dyDescent="0.2">
      <c r="A533" s="46">
        <f t="shared" si="106"/>
        <v>43384</v>
      </c>
      <c r="B533" s="47" t="s">
        <v>99</v>
      </c>
      <c r="C533" s="48">
        <f t="shared" si="108"/>
        <v>2168</v>
      </c>
      <c r="D533" s="99">
        <f t="shared" ref="D533:D596" si="113">(N534-N533)*8+(P534-P533)*8</f>
        <v>1280</v>
      </c>
      <c r="E533" s="45">
        <f t="shared" ref="E533:E596" si="114">(R534-R533)*1+(S534-S533)*120</f>
        <v>1116.9999999999891</v>
      </c>
      <c r="F533" s="45">
        <f t="shared" si="109"/>
        <v>90</v>
      </c>
      <c r="G533" s="79">
        <f t="shared" si="110"/>
        <v>4654.9999999999891</v>
      </c>
      <c r="H533" s="77">
        <v>3981</v>
      </c>
      <c r="I533" s="77">
        <v>813</v>
      </c>
      <c r="J533" s="80">
        <f t="shared" si="112"/>
        <v>4794</v>
      </c>
      <c r="K533" s="81">
        <f t="shared" si="111"/>
        <v>139.00000000001091</v>
      </c>
      <c r="L533" s="43"/>
      <c r="N533" s="112">
        <v>107667</v>
      </c>
      <c r="O533" s="112">
        <v>68077</v>
      </c>
      <c r="P533" s="112">
        <v>4481</v>
      </c>
      <c r="Q533" s="112"/>
      <c r="R533" s="112">
        <v>24483</v>
      </c>
      <c r="S533" s="113">
        <v>4001.3</v>
      </c>
      <c r="T533" s="113"/>
      <c r="U533" s="113"/>
      <c r="V533" s="112">
        <v>171662</v>
      </c>
      <c r="W533" s="112">
        <v>106430</v>
      </c>
      <c r="X533" s="112">
        <v>74827</v>
      </c>
      <c r="Y533" s="112">
        <v>92778</v>
      </c>
      <c r="Z533" s="112">
        <v>134916</v>
      </c>
    </row>
    <row r="534" spans="1:26" ht="18" hidden="1" customHeight="1" x14ac:dyDescent="0.2">
      <c r="A534" s="46">
        <f t="shared" si="106"/>
        <v>43385</v>
      </c>
      <c r="B534" s="47" t="s">
        <v>100</v>
      </c>
      <c r="C534" s="48">
        <f t="shared" si="108"/>
        <v>0</v>
      </c>
      <c r="D534" s="99">
        <f t="shared" si="113"/>
        <v>0</v>
      </c>
      <c r="E534" s="45">
        <f t="shared" si="114"/>
        <v>0</v>
      </c>
      <c r="F534" s="45">
        <f t="shared" si="109"/>
        <v>0</v>
      </c>
      <c r="G534" s="79">
        <f t="shared" si="110"/>
        <v>0</v>
      </c>
      <c r="H534" s="77">
        <v>3767</v>
      </c>
      <c r="I534" s="77">
        <v>821</v>
      </c>
      <c r="J534" s="80">
        <f t="shared" si="112"/>
        <v>4588</v>
      </c>
      <c r="K534" s="81">
        <f t="shared" si="111"/>
        <v>4588</v>
      </c>
      <c r="L534" s="43"/>
      <c r="N534" s="112">
        <v>107817</v>
      </c>
      <c r="O534" s="112">
        <v>68132</v>
      </c>
      <c r="P534" s="112">
        <v>4491</v>
      </c>
      <c r="Q534" s="112"/>
      <c r="R534" s="112">
        <v>24508</v>
      </c>
      <c r="S534" s="113">
        <v>4010.4</v>
      </c>
      <c r="T534" s="113"/>
      <c r="U534" s="113"/>
      <c r="V534" s="112">
        <v>171858</v>
      </c>
      <c r="W534" s="112">
        <v>106462</v>
      </c>
      <c r="X534" s="112">
        <v>74906</v>
      </c>
      <c r="Y534" s="112">
        <v>92778</v>
      </c>
      <c r="Z534" s="112">
        <v>135006</v>
      </c>
    </row>
    <row r="535" spans="1:26" ht="18" hidden="1" customHeight="1" x14ac:dyDescent="0.2">
      <c r="A535" s="46">
        <f t="shared" si="106"/>
        <v>43386</v>
      </c>
      <c r="B535" s="47" t="s">
        <v>101</v>
      </c>
      <c r="C535" s="48">
        <f t="shared" si="108"/>
        <v>0</v>
      </c>
      <c r="D535" s="99">
        <f t="shared" si="113"/>
        <v>0</v>
      </c>
      <c r="E535" s="45">
        <f t="shared" si="114"/>
        <v>0</v>
      </c>
      <c r="F535" s="45">
        <f t="shared" si="109"/>
        <v>0</v>
      </c>
      <c r="G535" s="79">
        <f t="shared" si="110"/>
        <v>0</v>
      </c>
      <c r="H535" s="77">
        <v>0</v>
      </c>
      <c r="I535" s="77">
        <v>3064</v>
      </c>
      <c r="J535" s="80">
        <f t="shared" si="112"/>
        <v>3064</v>
      </c>
      <c r="K535" s="81">
        <f t="shared" si="111"/>
        <v>3064</v>
      </c>
      <c r="L535" s="43"/>
      <c r="N535" s="153">
        <v>107817</v>
      </c>
      <c r="O535" s="153">
        <v>68132</v>
      </c>
      <c r="P535" s="153">
        <v>4491</v>
      </c>
      <c r="Q535" s="153"/>
      <c r="R535" s="153">
        <v>24508</v>
      </c>
      <c r="S535" s="154">
        <v>4010.4</v>
      </c>
      <c r="T535" s="154"/>
      <c r="U535" s="154"/>
      <c r="V535" s="153">
        <v>171858</v>
      </c>
      <c r="W535" s="153">
        <v>106462</v>
      </c>
      <c r="X535" s="153">
        <v>74906</v>
      </c>
      <c r="Y535" s="153">
        <v>92778</v>
      </c>
      <c r="Z535" s="153">
        <v>135006</v>
      </c>
    </row>
    <row r="536" spans="1:26" ht="18" hidden="1" customHeight="1" x14ac:dyDescent="0.2">
      <c r="A536" s="46">
        <f t="shared" si="106"/>
        <v>43387</v>
      </c>
      <c r="B536" s="47" t="s">
        <v>95</v>
      </c>
      <c r="C536" s="48">
        <f t="shared" si="108"/>
        <v>2973</v>
      </c>
      <c r="D536" s="99">
        <f t="shared" si="113"/>
        <v>3952</v>
      </c>
      <c r="E536" s="45">
        <f t="shared" si="114"/>
        <v>3279.9999999999782</v>
      </c>
      <c r="F536" s="45">
        <f t="shared" si="109"/>
        <v>261</v>
      </c>
      <c r="G536" s="79">
        <f t="shared" si="110"/>
        <v>10465.999999999978</v>
      </c>
      <c r="H536" s="77">
        <v>0</v>
      </c>
      <c r="I536" s="77">
        <v>3221</v>
      </c>
      <c r="J536" s="80">
        <f t="shared" si="112"/>
        <v>3221</v>
      </c>
      <c r="K536" s="81">
        <f t="shared" si="111"/>
        <v>-7244.9999999999782</v>
      </c>
      <c r="L536" s="43"/>
      <c r="N536" s="153">
        <v>107817</v>
      </c>
      <c r="O536" s="153">
        <v>68132</v>
      </c>
      <c r="P536" s="153">
        <v>4491</v>
      </c>
      <c r="Q536" s="153"/>
      <c r="R536" s="153">
        <v>24508</v>
      </c>
      <c r="S536" s="154">
        <v>4010.4</v>
      </c>
      <c r="T536" s="154"/>
      <c r="U536" s="154"/>
      <c r="V536" s="153">
        <v>171858</v>
      </c>
      <c r="W536" s="153">
        <v>106462</v>
      </c>
      <c r="X536" s="153">
        <v>74906</v>
      </c>
      <c r="Y536" s="153">
        <v>92778</v>
      </c>
      <c r="Z536" s="153">
        <v>135006</v>
      </c>
    </row>
    <row r="537" spans="1:26" ht="18" hidden="1" customHeight="1" x14ac:dyDescent="0.2">
      <c r="A537" s="46">
        <f t="shared" si="106"/>
        <v>43388</v>
      </c>
      <c r="B537" s="47" t="s">
        <v>96</v>
      </c>
      <c r="C537" s="48">
        <f t="shared" si="108"/>
        <v>2413</v>
      </c>
      <c r="D537" s="99">
        <f t="shared" si="113"/>
        <v>1680</v>
      </c>
      <c r="E537" s="45">
        <f t="shared" si="114"/>
        <v>1216.0000000000109</v>
      </c>
      <c r="F537" s="45">
        <f t="shared" si="109"/>
        <v>92</v>
      </c>
      <c r="G537" s="79">
        <f t="shared" si="110"/>
        <v>5401.0000000000109</v>
      </c>
      <c r="H537" s="77">
        <v>4511</v>
      </c>
      <c r="I537" s="77">
        <v>882</v>
      </c>
      <c r="J537" s="80">
        <f t="shared" si="112"/>
        <v>5393</v>
      </c>
      <c r="K537" s="81">
        <f t="shared" si="111"/>
        <v>-8.0000000000109139</v>
      </c>
      <c r="L537" s="43"/>
      <c r="N537" s="112">
        <v>108287</v>
      </c>
      <c r="O537" s="112">
        <v>68314</v>
      </c>
      <c r="P537" s="112">
        <v>4515</v>
      </c>
      <c r="Q537" s="112"/>
      <c r="R537" s="112">
        <v>24584</v>
      </c>
      <c r="S537" s="113">
        <v>4037.1</v>
      </c>
      <c r="T537" s="113"/>
      <c r="U537" s="113"/>
      <c r="V537" s="112">
        <v>172351</v>
      </c>
      <c r="W537" s="112">
        <v>106511</v>
      </c>
      <c r="X537" s="112">
        <v>74982</v>
      </c>
      <c r="Y537" s="112">
        <v>92778</v>
      </c>
      <c r="Z537" s="112">
        <v>135267</v>
      </c>
    </row>
    <row r="538" spans="1:26" ht="18" hidden="1" customHeight="1" x14ac:dyDescent="0.2">
      <c r="A538" s="46">
        <f t="shared" si="106"/>
        <v>43389</v>
      </c>
      <c r="B538" s="47" t="s">
        <v>97</v>
      </c>
      <c r="C538" s="48">
        <f t="shared" si="108"/>
        <v>2445</v>
      </c>
      <c r="D538" s="99">
        <f t="shared" si="113"/>
        <v>1720</v>
      </c>
      <c r="E538" s="45">
        <f t="shared" si="114"/>
        <v>1153.0000000000109</v>
      </c>
      <c r="F538" s="45">
        <f t="shared" si="109"/>
        <v>77</v>
      </c>
      <c r="G538" s="79">
        <f t="shared" si="110"/>
        <v>5395.0000000000109</v>
      </c>
      <c r="H538" s="77">
        <v>4602</v>
      </c>
      <c r="I538" s="77">
        <v>922</v>
      </c>
      <c r="J538" s="80">
        <f t="shared" si="112"/>
        <v>5524</v>
      </c>
      <c r="K538" s="81">
        <f t="shared" si="111"/>
        <v>128.99999999998909</v>
      </c>
      <c r="L538" s="43"/>
      <c r="N538" s="112">
        <v>108487</v>
      </c>
      <c r="O538" s="112">
        <v>68388</v>
      </c>
      <c r="P538" s="112">
        <v>4525</v>
      </c>
      <c r="Q538" s="112"/>
      <c r="R538" s="112">
        <v>24612</v>
      </c>
      <c r="S538" s="113">
        <v>4047</v>
      </c>
      <c r="T538" s="113"/>
      <c r="U538" s="113"/>
      <c r="V538" s="112">
        <v>172568</v>
      </c>
      <c r="W538" s="112">
        <v>106550</v>
      </c>
      <c r="X538" s="112">
        <v>75061</v>
      </c>
      <c r="Y538" s="112">
        <v>92778</v>
      </c>
      <c r="Z538" s="112">
        <v>135359</v>
      </c>
    </row>
    <row r="539" spans="1:26" ht="18" hidden="1" customHeight="1" x14ac:dyDescent="0.2">
      <c r="A539" s="46">
        <f t="shared" si="106"/>
        <v>43390</v>
      </c>
      <c r="B539" s="47" t="s">
        <v>98</v>
      </c>
      <c r="C539" s="48">
        <f t="shared" si="108"/>
        <v>2376</v>
      </c>
      <c r="D539" s="99">
        <f t="shared" si="113"/>
        <v>1568</v>
      </c>
      <c r="E539" s="45">
        <f t="shared" si="114"/>
        <v>1067.9999999999782</v>
      </c>
      <c r="F539" s="45">
        <f t="shared" si="109"/>
        <v>91</v>
      </c>
      <c r="G539" s="79">
        <f t="shared" si="110"/>
        <v>5102.9999999999782</v>
      </c>
      <c r="H539" s="77">
        <v>4438</v>
      </c>
      <c r="I539" s="77">
        <v>961</v>
      </c>
      <c r="J539" s="80">
        <f t="shared" si="112"/>
        <v>5399</v>
      </c>
      <c r="K539" s="81">
        <f t="shared" si="111"/>
        <v>296.00000000002183</v>
      </c>
      <c r="L539" s="43"/>
      <c r="N539" s="112">
        <v>108687</v>
      </c>
      <c r="O539" s="112">
        <v>68460</v>
      </c>
      <c r="P539" s="112">
        <v>4540</v>
      </c>
      <c r="Q539" s="112"/>
      <c r="R539" s="112">
        <v>24637</v>
      </c>
      <c r="S539" s="113">
        <v>4056.4</v>
      </c>
      <c r="T539" s="113"/>
      <c r="U539" s="113"/>
      <c r="V539" s="112">
        <v>172793</v>
      </c>
      <c r="W539" s="112">
        <v>106589</v>
      </c>
      <c r="X539" s="112">
        <v>75142</v>
      </c>
      <c r="Y539" s="112">
        <v>92778</v>
      </c>
      <c r="Z539" s="112">
        <v>135436</v>
      </c>
    </row>
    <row r="540" spans="1:26" ht="18" hidden="1" customHeight="1" x14ac:dyDescent="0.2">
      <c r="A540" s="46">
        <f t="shared" si="106"/>
        <v>43391</v>
      </c>
      <c r="B540" s="47" t="s">
        <v>99</v>
      </c>
      <c r="C540" s="48">
        <f t="shared" si="108"/>
        <v>2293</v>
      </c>
      <c r="D540" s="99">
        <f t="shared" si="113"/>
        <v>1944</v>
      </c>
      <c r="E540" s="45">
        <f t="shared" si="114"/>
        <v>1057.9999999999891</v>
      </c>
      <c r="F540" s="45">
        <f t="shared" si="109"/>
        <v>83</v>
      </c>
      <c r="G540" s="79">
        <f t="shared" si="110"/>
        <v>5377.9999999999891</v>
      </c>
      <c r="H540" s="77">
        <v>4374</v>
      </c>
      <c r="I540" s="77">
        <v>953</v>
      </c>
      <c r="J540" s="80">
        <f t="shared" si="112"/>
        <v>5327</v>
      </c>
      <c r="K540" s="81">
        <f t="shared" si="111"/>
        <v>-50.999999999989086</v>
      </c>
      <c r="L540" s="43"/>
      <c r="N540" s="112">
        <v>108877</v>
      </c>
      <c r="O540" s="112">
        <v>68536</v>
      </c>
      <c r="P540" s="112">
        <v>4546</v>
      </c>
      <c r="Q540" s="112"/>
      <c r="R540" s="112">
        <v>24661</v>
      </c>
      <c r="S540" s="113">
        <v>4065.1</v>
      </c>
      <c r="T540" s="113"/>
      <c r="U540" s="113"/>
      <c r="V540" s="112">
        <v>173001</v>
      </c>
      <c r="W540" s="112">
        <v>106626</v>
      </c>
      <c r="X540" s="112">
        <v>75224</v>
      </c>
      <c r="Y540" s="112">
        <v>92778</v>
      </c>
      <c r="Z540" s="112">
        <v>135527</v>
      </c>
    </row>
    <row r="541" spans="1:26" ht="18" hidden="1" customHeight="1" x14ac:dyDescent="0.2">
      <c r="A541" s="46">
        <f t="shared" si="106"/>
        <v>43392</v>
      </c>
      <c r="B541" s="47" t="s">
        <v>100</v>
      </c>
      <c r="C541" s="48">
        <f t="shared" si="108"/>
        <v>0</v>
      </c>
      <c r="D541" s="99">
        <f t="shared" si="113"/>
        <v>0</v>
      </c>
      <c r="E541" s="45">
        <f t="shared" si="114"/>
        <v>0</v>
      </c>
      <c r="F541" s="45">
        <f t="shared" si="109"/>
        <v>0</v>
      </c>
      <c r="G541" s="79">
        <f t="shared" si="110"/>
        <v>0</v>
      </c>
      <c r="H541" s="77">
        <v>4434</v>
      </c>
      <c r="I541" s="77">
        <v>972</v>
      </c>
      <c r="J541" s="80">
        <f t="shared" si="112"/>
        <v>5406</v>
      </c>
      <c r="K541" s="81">
        <f t="shared" si="111"/>
        <v>5406</v>
      </c>
      <c r="L541" s="43"/>
      <c r="N541" s="196">
        <v>109107</v>
      </c>
      <c r="O541" s="112">
        <v>68618</v>
      </c>
      <c r="P541" s="112">
        <v>4559</v>
      </c>
      <c r="Q541" s="112"/>
      <c r="R541" s="112">
        <v>24687</v>
      </c>
      <c r="S541" s="113">
        <v>4073.7</v>
      </c>
      <c r="T541" s="113"/>
      <c r="U541" s="113"/>
      <c r="V541" s="112">
        <v>173202</v>
      </c>
      <c r="W541" s="112">
        <v>106664</v>
      </c>
      <c r="X541" s="112">
        <v>75297</v>
      </c>
      <c r="Y541" s="112">
        <v>92778</v>
      </c>
      <c r="Z541" s="112">
        <v>135610</v>
      </c>
    </row>
    <row r="542" spans="1:26" ht="18" hidden="1" customHeight="1" x14ac:dyDescent="0.2">
      <c r="A542" s="46">
        <f t="shared" ref="A542:A605" si="115">A541+1</f>
        <v>43393</v>
      </c>
      <c r="B542" s="56" t="s">
        <v>103</v>
      </c>
      <c r="C542" s="48">
        <f t="shared" si="108"/>
        <v>0</v>
      </c>
      <c r="D542" s="99">
        <f t="shared" si="113"/>
        <v>0</v>
      </c>
      <c r="E542" s="45">
        <f t="shared" si="114"/>
        <v>0</v>
      </c>
      <c r="F542" s="45">
        <f t="shared" si="109"/>
        <v>0</v>
      </c>
      <c r="G542" s="79">
        <f t="shared" si="110"/>
        <v>0</v>
      </c>
      <c r="H542" s="77">
        <v>0</v>
      </c>
      <c r="I542" s="77">
        <v>4543</v>
      </c>
      <c r="J542" s="80">
        <f t="shared" si="112"/>
        <v>4543</v>
      </c>
      <c r="K542" s="81">
        <f t="shared" si="111"/>
        <v>4543</v>
      </c>
      <c r="L542" s="43"/>
      <c r="N542" s="194">
        <v>109107</v>
      </c>
      <c r="O542" s="194">
        <v>68618</v>
      </c>
      <c r="P542" s="194">
        <v>4559</v>
      </c>
      <c r="Q542" s="194"/>
      <c r="R542" s="194">
        <v>24687</v>
      </c>
      <c r="S542" s="195">
        <v>4073.7</v>
      </c>
      <c r="T542" s="195"/>
      <c r="U542" s="195"/>
      <c r="V542" s="194">
        <v>173202</v>
      </c>
      <c r="W542" s="194">
        <v>106664</v>
      </c>
      <c r="X542" s="194">
        <v>75297</v>
      </c>
      <c r="Y542" s="194">
        <v>92778</v>
      </c>
      <c r="Z542" s="194">
        <v>135610</v>
      </c>
    </row>
    <row r="543" spans="1:26" ht="18" hidden="1" customHeight="1" x14ac:dyDescent="0.2">
      <c r="A543" s="46">
        <f t="shared" si="115"/>
        <v>43394</v>
      </c>
      <c r="B543" s="56" t="s">
        <v>104</v>
      </c>
      <c r="C543" s="48">
        <f t="shared" si="108"/>
        <v>4727</v>
      </c>
      <c r="D543" s="99">
        <f t="shared" si="113"/>
        <v>3712</v>
      </c>
      <c r="E543" s="45">
        <f t="shared" si="114"/>
        <v>3656.0000000000218</v>
      </c>
      <c r="F543" s="45">
        <f t="shared" si="109"/>
        <v>278</v>
      </c>
      <c r="G543" s="79">
        <f t="shared" si="110"/>
        <v>12373.000000000022</v>
      </c>
      <c r="H543" s="77">
        <v>0</v>
      </c>
      <c r="I543" s="77">
        <v>3098</v>
      </c>
      <c r="J543" s="80">
        <f t="shared" si="112"/>
        <v>3098</v>
      </c>
      <c r="K543" s="81">
        <f t="shared" si="111"/>
        <v>-9275.0000000000218</v>
      </c>
      <c r="L543" s="43"/>
      <c r="N543" s="194">
        <v>109107</v>
      </c>
      <c r="O543" s="194">
        <v>68618</v>
      </c>
      <c r="P543" s="194">
        <v>4559</v>
      </c>
      <c r="Q543" s="194"/>
      <c r="R543" s="194">
        <v>24687</v>
      </c>
      <c r="S543" s="195">
        <v>4073.7</v>
      </c>
      <c r="T543" s="195"/>
      <c r="U543" s="195"/>
      <c r="V543" s="194">
        <v>173202</v>
      </c>
      <c r="W543" s="194">
        <v>106664</v>
      </c>
      <c r="X543" s="194">
        <v>75297</v>
      </c>
      <c r="Y543" s="194">
        <v>92778</v>
      </c>
      <c r="Z543" s="194">
        <v>135610</v>
      </c>
    </row>
    <row r="544" spans="1:26" ht="18" hidden="1" customHeight="1" x14ac:dyDescent="0.2">
      <c r="A544" s="46">
        <f t="shared" si="115"/>
        <v>43395</v>
      </c>
      <c r="B544" s="47" t="s">
        <v>96</v>
      </c>
      <c r="C544" s="48">
        <f t="shared" si="108"/>
        <v>2239</v>
      </c>
      <c r="D544" s="99">
        <f t="shared" si="113"/>
        <v>1864</v>
      </c>
      <c r="E544" s="45">
        <f t="shared" si="114"/>
        <v>1301.0000000000437</v>
      </c>
      <c r="F544" s="45">
        <f t="shared" si="109"/>
        <v>81</v>
      </c>
      <c r="G544" s="79">
        <f t="shared" si="110"/>
        <v>5485.0000000000437</v>
      </c>
      <c r="H544" s="77">
        <v>4637</v>
      </c>
      <c r="I544" s="77">
        <v>789</v>
      </c>
      <c r="J544" s="80">
        <f t="shared" si="112"/>
        <v>5426</v>
      </c>
      <c r="K544" s="81">
        <f t="shared" si="111"/>
        <v>-59.000000000043656</v>
      </c>
      <c r="L544" s="43"/>
      <c r="N544" s="112">
        <v>109547</v>
      </c>
      <c r="O544" s="112">
        <v>68779</v>
      </c>
      <c r="P544" s="112">
        <v>4583</v>
      </c>
      <c r="Q544" s="112"/>
      <c r="R544" s="112">
        <v>24767</v>
      </c>
      <c r="S544" s="113">
        <v>4103.5</v>
      </c>
      <c r="T544" s="113"/>
      <c r="U544" s="113"/>
      <c r="V544" s="112">
        <v>173741</v>
      </c>
      <c r="W544" s="112">
        <v>106742</v>
      </c>
      <c r="X544" s="112">
        <v>75438</v>
      </c>
      <c r="Y544" s="112">
        <v>92778</v>
      </c>
      <c r="Z544" s="112">
        <v>135888</v>
      </c>
    </row>
    <row r="545" spans="1:26" ht="18" hidden="1" customHeight="1" x14ac:dyDescent="0.2">
      <c r="A545" s="46">
        <f t="shared" si="115"/>
        <v>43396</v>
      </c>
      <c r="B545" s="47" t="s">
        <v>97</v>
      </c>
      <c r="C545" s="48">
        <f t="shared" si="108"/>
        <v>2373</v>
      </c>
      <c r="D545" s="99">
        <f t="shared" si="113"/>
        <v>1992</v>
      </c>
      <c r="E545" s="45">
        <f t="shared" si="114"/>
        <v>1153.9999999999563</v>
      </c>
      <c r="F545" s="45">
        <f t="shared" si="109"/>
        <v>80</v>
      </c>
      <c r="G545" s="79">
        <f t="shared" si="110"/>
        <v>5598.9999999999563</v>
      </c>
      <c r="H545" s="77">
        <v>4628</v>
      </c>
      <c r="I545" s="77">
        <v>1030</v>
      </c>
      <c r="J545" s="80">
        <f t="shared" si="112"/>
        <v>5658</v>
      </c>
      <c r="K545" s="81">
        <f t="shared" si="111"/>
        <v>59.000000000043656</v>
      </c>
      <c r="L545" s="43"/>
      <c r="N545" s="112">
        <v>109767</v>
      </c>
      <c r="O545" s="112">
        <v>6886</v>
      </c>
      <c r="P545" s="112">
        <v>4596</v>
      </c>
      <c r="Q545" s="112"/>
      <c r="R545" s="112">
        <v>24796</v>
      </c>
      <c r="S545" s="113">
        <v>4114.1000000000004</v>
      </c>
      <c r="T545" s="113"/>
      <c r="U545" s="113"/>
      <c r="V545" s="112">
        <v>173984</v>
      </c>
      <c r="W545" s="112">
        <v>106777</v>
      </c>
      <c r="X545" s="112">
        <v>75511</v>
      </c>
      <c r="Y545" s="112">
        <v>92778</v>
      </c>
      <c r="Z545" s="112">
        <v>135969</v>
      </c>
    </row>
    <row r="546" spans="1:26" ht="18" hidden="1" customHeight="1" x14ac:dyDescent="0.2">
      <c r="A546" s="46">
        <f t="shared" si="115"/>
        <v>43397</v>
      </c>
      <c r="B546" s="47" t="s">
        <v>98</v>
      </c>
      <c r="C546" s="48">
        <f t="shared" si="108"/>
        <v>2104</v>
      </c>
      <c r="D546" s="99">
        <f t="shared" si="113"/>
        <v>1936</v>
      </c>
      <c r="E546" s="45">
        <f t="shared" si="114"/>
        <v>1069.9999999999782</v>
      </c>
      <c r="F546" s="45">
        <f t="shared" si="109"/>
        <v>70</v>
      </c>
      <c r="G546" s="79">
        <f t="shared" si="110"/>
        <v>5179.9999999999782</v>
      </c>
      <c r="H546" s="77">
        <v>4287</v>
      </c>
      <c r="I546" s="77">
        <v>1072</v>
      </c>
      <c r="J546" s="80">
        <f t="shared" si="112"/>
        <v>5359</v>
      </c>
      <c r="K546" s="81">
        <f t="shared" si="111"/>
        <v>179.00000000002183</v>
      </c>
      <c r="L546" s="43"/>
      <c r="N546" s="112">
        <v>110007</v>
      </c>
      <c r="O546" s="112">
        <v>6895</v>
      </c>
      <c r="P546" s="112">
        <v>4605</v>
      </c>
      <c r="Q546" s="112"/>
      <c r="R546" s="112">
        <v>24822</v>
      </c>
      <c r="S546" s="113">
        <v>4123.5</v>
      </c>
      <c r="T546" s="113"/>
      <c r="U546" s="113"/>
      <c r="V546" s="112">
        <v>174205</v>
      </c>
      <c r="W546" s="112">
        <v>106815</v>
      </c>
      <c r="X546" s="112">
        <v>75589</v>
      </c>
      <c r="Y546" s="112">
        <v>92778</v>
      </c>
      <c r="Z546" s="112">
        <v>136049</v>
      </c>
    </row>
    <row r="547" spans="1:26" ht="18" hidden="1" customHeight="1" x14ac:dyDescent="0.2">
      <c r="A547" s="46">
        <f t="shared" si="115"/>
        <v>43398</v>
      </c>
      <c r="B547" s="47" t="s">
        <v>99</v>
      </c>
      <c r="C547" s="48">
        <f t="shared" si="108"/>
        <v>1923</v>
      </c>
      <c r="D547" s="99">
        <f t="shared" si="113"/>
        <v>1936</v>
      </c>
      <c r="E547" s="45">
        <f t="shared" si="114"/>
        <v>1143.0000000000218</v>
      </c>
      <c r="F547" s="45">
        <f t="shared" si="109"/>
        <v>92</v>
      </c>
      <c r="G547" s="79">
        <f t="shared" si="110"/>
        <v>5094.0000000000218</v>
      </c>
      <c r="H547" s="77">
        <v>4225</v>
      </c>
      <c r="I547" s="77">
        <v>1092</v>
      </c>
      <c r="J547" s="80">
        <f t="shared" si="112"/>
        <v>5317</v>
      </c>
      <c r="K547" s="81">
        <f t="shared" si="111"/>
        <v>222.99999999997817</v>
      </c>
      <c r="L547" s="43"/>
      <c r="N547" s="112">
        <v>110237</v>
      </c>
      <c r="O547" s="112">
        <v>69045</v>
      </c>
      <c r="P547" s="112">
        <v>4617</v>
      </c>
      <c r="Q547" s="112"/>
      <c r="R547" s="112">
        <v>24848</v>
      </c>
      <c r="S547" s="113">
        <v>4132.2</v>
      </c>
      <c r="T547" s="113"/>
      <c r="U547" s="113"/>
      <c r="V547" s="112">
        <v>174441</v>
      </c>
      <c r="W547" s="112">
        <v>106849</v>
      </c>
      <c r="X547" s="112">
        <v>75654</v>
      </c>
      <c r="Y547" s="112">
        <v>92778</v>
      </c>
      <c r="Z547" s="112">
        <v>136119</v>
      </c>
    </row>
    <row r="548" spans="1:26" ht="18" hidden="1" customHeight="1" x14ac:dyDescent="0.2">
      <c r="A548" s="46">
        <f t="shared" si="115"/>
        <v>43399</v>
      </c>
      <c r="B548" s="47" t="s">
        <v>100</v>
      </c>
      <c r="C548" s="48">
        <f t="shared" si="108"/>
        <v>0</v>
      </c>
      <c r="D548" s="99">
        <f t="shared" si="113"/>
        <v>0</v>
      </c>
      <c r="E548" s="45">
        <f t="shared" si="114"/>
        <v>0</v>
      </c>
      <c r="F548" s="45">
        <f t="shared" si="109"/>
        <v>0</v>
      </c>
      <c r="G548" s="79">
        <f t="shared" si="110"/>
        <v>0</v>
      </c>
      <c r="H548" s="77">
        <v>4258</v>
      </c>
      <c r="I548" s="77">
        <v>997</v>
      </c>
      <c r="J548" s="80">
        <f t="shared" si="112"/>
        <v>5255</v>
      </c>
      <c r="K548" s="81">
        <f t="shared" si="111"/>
        <v>5255</v>
      </c>
      <c r="L548" s="43"/>
      <c r="N548" s="112">
        <v>110467</v>
      </c>
      <c r="O548" s="112">
        <v>69133</v>
      </c>
      <c r="P548" s="112">
        <v>4629</v>
      </c>
      <c r="Q548" s="112"/>
      <c r="R548" s="112">
        <v>24875</v>
      </c>
      <c r="S548" s="113">
        <v>4141.5</v>
      </c>
      <c r="T548" s="113"/>
      <c r="U548" s="113"/>
      <c r="V548" s="112">
        <v>174672</v>
      </c>
      <c r="W548" s="112">
        <v>106882</v>
      </c>
      <c r="X548" s="112">
        <v>75707</v>
      </c>
      <c r="Y548" s="112">
        <v>92778</v>
      </c>
      <c r="Z548" s="112">
        <v>136211</v>
      </c>
    </row>
    <row r="549" spans="1:26" ht="18" hidden="1" customHeight="1" x14ac:dyDescent="0.2">
      <c r="A549" s="46">
        <f t="shared" si="115"/>
        <v>43400</v>
      </c>
      <c r="B549" s="47" t="s">
        <v>101</v>
      </c>
      <c r="C549" s="48">
        <f t="shared" si="108"/>
        <v>0</v>
      </c>
      <c r="D549" s="99">
        <f t="shared" si="113"/>
        <v>0</v>
      </c>
      <c r="E549" s="45">
        <f t="shared" si="114"/>
        <v>0</v>
      </c>
      <c r="F549" s="45">
        <f t="shared" si="109"/>
        <v>0</v>
      </c>
      <c r="G549" s="79">
        <f t="shared" si="110"/>
        <v>0</v>
      </c>
      <c r="H549" s="77">
        <v>0</v>
      </c>
      <c r="I549" s="77">
        <v>2822</v>
      </c>
      <c r="J549" s="80">
        <f t="shared" si="112"/>
        <v>2822</v>
      </c>
      <c r="K549" s="81">
        <f t="shared" si="111"/>
        <v>2822</v>
      </c>
      <c r="L549" s="43"/>
      <c r="N549" s="153">
        <v>110467</v>
      </c>
      <c r="O549" s="153">
        <v>69133</v>
      </c>
      <c r="P549" s="153">
        <v>4629</v>
      </c>
      <c r="Q549" s="153"/>
      <c r="R549" s="153">
        <v>24875</v>
      </c>
      <c r="S549" s="154">
        <v>4141.5</v>
      </c>
      <c r="T549" s="154"/>
      <c r="U549" s="154"/>
      <c r="V549" s="153">
        <v>174672</v>
      </c>
      <c r="W549" s="153">
        <v>106882</v>
      </c>
      <c r="X549" s="153">
        <v>75707</v>
      </c>
      <c r="Y549" s="153">
        <v>92778</v>
      </c>
      <c r="Z549" s="153">
        <v>136211</v>
      </c>
    </row>
    <row r="550" spans="1:26" ht="18" hidden="1" customHeight="1" x14ac:dyDescent="0.2">
      <c r="A550" s="46">
        <f t="shared" si="115"/>
        <v>43401</v>
      </c>
      <c r="B550" s="47" t="s">
        <v>95</v>
      </c>
      <c r="C550" s="48">
        <f t="shared" si="108"/>
        <v>3127</v>
      </c>
      <c r="D550" s="99">
        <f t="shared" si="113"/>
        <v>3840</v>
      </c>
      <c r="E550" s="45">
        <f t="shared" si="114"/>
        <v>3571.0000000000437</v>
      </c>
      <c r="F550" s="45">
        <f t="shared" si="109"/>
        <v>276</v>
      </c>
      <c r="G550" s="79">
        <f t="shared" si="110"/>
        <v>10814.000000000044</v>
      </c>
      <c r="H550" s="77">
        <v>0</v>
      </c>
      <c r="I550" s="77">
        <v>3191</v>
      </c>
      <c r="J550" s="80">
        <f t="shared" si="112"/>
        <v>3191</v>
      </c>
      <c r="K550" s="81">
        <f t="shared" si="111"/>
        <v>-7623.0000000000437</v>
      </c>
      <c r="L550" s="43"/>
      <c r="N550" s="153">
        <v>110467</v>
      </c>
      <c r="O550" s="153">
        <v>69133</v>
      </c>
      <c r="P550" s="153">
        <v>4629</v>
      </c>
      <c r="Q550" s="153"/>
      <c r="R550" s="153">
        <v>24875</v>
      </c>
      <c r="S550" s="154">
        <v>4141.5</v>
      </c>
      <c r="T550" s="154"/>
      <c r="U550" s="154"/>
      <c r="V550" s="153">
        <v>174672</v>
      </c>
      <c r="W550" s="153">
        <v>106882</v>
      </c>
      <c r="X550" s="153">
        <v>75707</v>
      </c>
      <c r="Y550" s="153">
        <v>92778</v>
      </c>
      <c r="Z550" s="153">
        <v>136211</v>
      </c>
    </row>
    <row r="551" spans="1:26" ht="18" hidden="1" customHeight="1" x14ac:dyDescent="0.2">
      <c r="A551" s="46">
        <f t="shared" si="115"/>
        <v>43402</v>
      </c>
      <c r="B551" s="47" t="s">
        <v>96</v>
      </c>
      <c r="C551" s="48">
        <f t="shared" si="108"/>
        <v>2044</v>
      </c>
      <c r="D551" s="99">
        <f t="shared" si="113"/>
        <v>1864</v>
      </c>
      <c r="E551" s="45">
        <f t="shared" si="114"/>
        <v>1311.9999999999782</v>
      </c>
      <c r="F551" s="45">
        <f t="shared" si="109"/>
        <v>91</v>
      </c>
      <c r="G551" s="79">
        <f t="shared" si="110"/>
        <v>5310.9999999999782</v>
      </c>
      <c r="H551" s="77">
        <v>4432</v>
      </c>
      <c r="I551" s="77">
        <v>1013</v>
      </c>
      <c r="J551" s="80">
        <f t="shared" si="112"/>
        <v>5445</v>
      </c>
      <c r="K551" s="81">
        <f t="shared" si="111"/>
        <v>134.00000000002183</v>
      </c>
      <c r="L551" s="43"/>
      <c r="N551" s="112">
        <v>110927</v>
      </c>
      <c r="O551" s="112">
        <v>69308</v>
      </c>
      <c r="P551" s="112">
        <v>4649</v>
      </c>
      <c r="Q551" s="112"/>
      <c r="R551" s="112">
        <v>24954</v>
      </c>
      <c r="S551" s="113">
        <v>4170.6000000000004</v>
      </c>
      <c r="T551" s="113"/>
      <c r="U551" s="113"/>
      <c r="V551" s="112">
        <v>175251</v>
      </c>
      <c r="W551" s="112">
        <v>106938</v>
      </c>
      <c r="X551" s="112">
        <v>75770</v>
      </c>
      <c r="Y551" s="112">
        <v>92778</v>
      </c>
      <c r="Z551" s="112">
        <v>136487</v>
      </c>
    </row>
    <row r="552" spans="1:26" ht="18" hidden="1" customHeight="1" x14ac:dyDescent="0.2">
      <c r="A552" s="46">
        <f t="shared" si="115"/>
        <v>43403</v>
      </c>
      <c r="B552" s="47" t="s">
        <v>97</v>
      </c>
      <c r="C552" s="48">
        <f t="shared" si="108"/>
        <v>1634</v>
      </c>
      <c r="D552" s="99">
        <f t="shared" si="113"/>
        <v>1864</v>
      </c>
      <c r="E552" s="45">
        <f t="shared" si="114"/>
        <v>1274.9999999999563</v>
      </c>
      <c r="F552" s="45">
        <f t="shared" si="109"/>
        <v>96</v>
      </c>
      <c r="G552" s="79">
        <f t="shared" si="110"/>
        <v>4868.9999999999563</v>
      </c>
      <c r="H552" s="77">
        <v>3971</v>
      </c>
      <c r="I552" s="77">
        <v>1031</v>
      </c>
      <c r="J552" s="80">
        <f t="shared" si="112"/>
        <v>5002</v>
      </c>
      <c r="K552" s="81">
        <f t="shared" si="111"/>
        <v>133.00000000004366</v>
      </c>
      <c r="L552" s="43"/>
      <c r="N552" s="112">
        <v>111147</v>
      </c>
      <c r="O552" s="112">
        <v>69394</v>
      </c>
      <c r="P552" s="112">
        <v>4662</v>
      </c>
      <c r="Q552" s="112"/>
      <c r="R552" s="112">
        <v>24982</v>
      </c>
      <c r="S552" s="113">
        <v>4181.3</v>
      </c>
      <c r="T552" s="113"/>
      <c r="U552" s="113"/>
      <c r="V552" s="112">
        <v>175459</v>
      </c>
      <c r="W552" s="112">
        <v>106968</v>
      </c>
      <c r="X552" s="112">
        <v>75843</v>
      </c>
      <c r="Y552" s="112">
        <v>92778</v>
      </c>
      <c r="Z552" s="112">
        <v>136578</v>
      </c>
    </row>
    <row r="553" spans="1:26" ht="18" hidden="1" customHeight="1" x14ac:dyDescent="0.2">
      <c r="A553" s="46">
        <f t="shared" si="115"/>
        <v>43404</v>
      </c>
      <c r="B553" s="47" t="s">
        <v>98</v>
      </c>
      <c r="C553" s="48">
        <f t="shared" si="108"/>
        <v>1513</v>
      </c>
      <c r="D553" s="99">
        <f t="shared" si="113"/>
        <v>1912</v>
      </c>
      <c r="E553" s="45">
        <f t="shared" si="114"/>
        <v>1185.9999999999782</v>
      </c>
      <c r="F553" s="45">
        <f t="shared" si="109"/>
        <v>95</v>
      </c>
      <c r="G553" s="79">
        <f t="shared" si="110"/>
        <v>4705.9999999999782</v>
      </c>
      <c r="H553" s="77">
        <v>3717</v>
      </c>
      <c r="I553" s="77">
        <v>1059</v>
      </c>
      <c r="J553" s="80">
        <f t="shared" si="112"/>
        <v>4776</v>
      </c>
      <c r="K553" s="81">
        <f t="shared" si="111"/>
        <v>70.000000000021828</v>
      </c>
      <c r="L553" s="43"/>
      <c r="N553" s="112">
        <v>111367</v>
      </c>
      <c r="O553" s="112">
        <v>69477</v>
      </c>
      <c r="P553" s="112">
        <v>4675</v>
      </c>
      <c r="Q553" s="112"/>
      <c r="R553" s="112">
        <v>25009</v>
      </c>
      <c r="S553" s="113">
        <v>4191.7</v>
      </c>
      <c r="T553" s="113"/>
      <c r="U553" s="113"/>
      <c r="V553" s="112">
        <v>175661</v>
      </c>
      <c r="W553" s="112">
        <v>106994</v>
      </c>
      <c r="X553" s="112">
        <v>75893</v>
      </c>
      <c r="Y553" s="112">
        <v>92778</v>
      </c>
      <c r="Z553" s="112">
        <v>136674</v>
      </c>
    </row>
    <row r="554" spans="1:26" ht="18" hidden="1" customHeight="1" x14ac:dyDescent="0.2">
      <c r="A554" s="46">
        <f t="shared" si="115"/>
        <v>43405</v>
      </c>
      <c r="B554" s="47" t="s">
        <v>99</v>
      </c>
      <c r="C554" s="48">
        <f t="shared" si="108"/>
        <v>1711</v>
      </c>
      <c r="D554" s="99">
        <f t="shared" si="113"/>
        <v>2472</v>
      </c>
      <c r="E554" s="45">
        <f t="shared" si="114"/>
        <v>1071.0000000000873</v>
      </c>
      <c r="F554" s="45">
        <f t="shared" si="109"/>
        <v>122</v>
      </c>
      <c r="G554" s="79">
        <f t="shared" si="110"/>
        <v>5376.0000000000873</v>
      </c>
      <c r="H554" s="77">
        <v>3786</v>
      </c>
      <c r="I554" s="77">
        <v>1060</v>
      </c>
      <c r="J554" s="80">
        <f>H554+I554</f>
        <v>4846</v>
      </c>
      <c r="K554" s="81">
        <f t="shared" si="111"/>
        <v>-530.00000000008731</v>
      </c>
      <c r="L554" s="43"/>
      <c r="N554" s="112">
        <v>111597</v>
      </c>
      <c r="O554" s="112">
        <v>69561</v>
      </c>
      <c r="P554" s="112">
        <v>4684</v>
      </c>
      <c r="Q554" s="112"/>
      <c r="R554" s="112">
        <v>25031</v>
      </c>
      <c r="S554" s="113">
        <v>4201.3999999999996</v>
      </c>
      <c r="T554" s="113"/>
      <c r="U554" s="113"/>
      <c r="V554" s="112">
        <v>175842</v>
      </c>
      <c r="W554" s="112">
        <v>107018</v>
      </c>
      <c r="X554" s="112">
        <v>75940</v>
      </c>
      <c r="Y554" s="112">
        <v>92778</v>
      </c>
      <c r="Z554" s="112">
        <v>136769</v>
      </c>
    </row>
    <row r="555" spans="1:26" ht="18" hidden="1" customHeight="1" x14ac:dyDescent="0.2">
      <c r="A555" s="46">
        <f t="shared" si="115"/>
        <v>43406</v>
      </c>
      <c r="B555" s="47" t="s">
        <v>100</v>
      </c>
      <c r="C555" s="48">
        <f t="shared" si="108"/>
        <v>0</v>
      </c>
      <c r="D555" s="99">
        <f t="shared" si="113"/>
        <v>0</v>
      </c>
      <c r="E555" s="45">
        <f t="shared" si="114"/>
        <v>0</v>
      </c>
      <c r="F555" s="45">
        <f t="shared" si="109"/>
        <v>0</v>
      </c>
      <c r="G555" s="79">
        <f t="shared" si="110"/>
        <v>0</v>
      </c>
      <c r="H555" s="77">
        <v>3556</v>
      </c>
      <c r="I555" s="77">
        <v>911</v>
      </c>
      <c r="J555" s="80">
        <f t="shared" ref="J555:J583" si="116">H555+I555</f>
        <v>4467</v>
      </c>
      <c r="K555" s="81">
        <f t="shared" si="111"/>
        <v>4467</v>
      </c>
      <c r="L555" s="43"/>
      <c r="N555" s="112">
        <v>111897</v>
      </c>
      <c r="O555" s="112">
        <v>69633</v>
      </c>
      <c r="P555" s="112">
        <v>4693</v>
      </c>
      <c r="Q555" s="112"/>
      <c r="R555" s="112">
        <v>25058</v>
      </c>
      <c r="S555" s="113">
        <v>4210.1000000000004</v>
      </c>
      <c r="T555" s="113"/>
      <c r="U555" s="113"/>
      <c r="V555" s="112">
        <v>176037</v>
      </c>
      <c r="W555" s="112">
        <v>107044</v>
      </c>
      <c r="X555" s="112">
        <v>75997</v>
      </c>
      <c r="Y555" s="112">
        <v>92778</v>
      </c>
      <c r="Z555" s="112">
        <v>136891</v>
      </c>
    </row>
    <row r="556" spans="1:26" ht="18" hidden="1" customHeight="1" x14ac:dyDescent="0.2">
      <c r="A556" s="46">
        <f t="shared" si="115"/>
        <v>43407</v>
      </c>
      <c r="B556" s="47" t="s">
        <v>101</v>
      </c>
      <c r="C556" s="48">
        <f t="shared" si="108"/>
        <v>0</v>
      </c>
      <c r="D556" s="99">
        <f t="shared" si="113"/>
        <v>0</v>
      </c>
      <c r="E556" s="45">
        <f t="shared" si="114"/>
        <v>0</v>
      </c>
      <c r="F556" s="45">
        <f t="shared" si="109"/>
        <v>0</v>
      </c>
      <c r="G556" s="79">
        <f t="shared" si="110"/>
        <v>0</v>
      </c>
      <c r="H556" s="77">
        <v>0</v>
      </c>
      <c r="I556" s="77">
        <v>2979</v>
      </c>
      <c r="J556" s="80">
        <f t="shared" si="116"/>
        <v>2979</v>
      </c>
      <c r="K556" s="81">
        <f t="shared" si="111"/>
        <v>2979</v>
      </c>
      <c r="L556" s="43"/>
      <c r="N556" s="153">
        <v>111897</v>
      </c>
      <c r="O556" s="153">
        <v>69633</v>
      </c>
      <c r="P556" s="153">
        <v>4693</v>
      </c>
      <c r="Q556" s="153"/>
      <c r="R556" s="153">
        <v>25058</v>
      </c>
      <c r="S556" s="154">
        <v>4210.1000000000004</v>
      </c>
      <c r="T556" s="154"/>
      <c r="U556" s="154"/>
      <c r="V556" s="153">
        <v>176037</v>
      </c>
      <c r="W556" s="153">
        <v>107044</v>
      </c>
      <c r="X556" s="153">
        <v>75997</v>
      </c>
      <c r="Y556" s="153">
        <v>92778</v>
      </c>
      <c r="Z556" s="153">
        <v>136891</v>
      </c>
    </row>
    <row r="557" spans="1:26" ht="18" hidden="1" customHeight="1" x14ac:dyDescent="0.2">
      <c r="A557" s="46">
        <f t="shared" si="115"/>
        <v>43408</v>
      </c>
      <c r="B557" s="47" t="s">
        <v>95</v>
      </c>
      <c r="C557" s="48">
        <f t="shared" si="108"/>
        <v>2525</v>
      </c>
      <c r="D557" s="99">
        <f t="shared" si="113"/>
        <v>2976</v>
      </c>
      <c r="E557" s="45">
        <f t="shared" si="114"/>
        <v>3550.9999999999563</v>
      </c>
      <c r="F557" s="45">
        <f t="shared" si="109"/>
        <v>320</v>
      </c>
      <c r="G557" s="79">
        <f t="shared" si="110"/>
        <v>9371.9999999999563</v>
      </c>
      <c r="H557" s="77">
        <v>0</v>
      </c>
      <c r="I557" s="77">
        <v>3149</v>
      </c>
      <c r="J557" s="80">
        <f t="shared" si="116"/>
        <v>3149</v>
      </c>
      <c r="K557" s="81">
        <f t="shared" si="111"/>
        <v>-6222.9999999999563</v>
      </c>
      <c r="L557" s="43"/>
      <c r="N557" s="153">
        <v>111897</v>
      </c>
      <c r="O557" s="153">
        <v>69633</v>
      </c>
      <c r="P557" s="153">
        <v>4693</v>
      </c>
      <c r="Q557" s="153"/>
      <c r="R557" s="153">
        <v>25058</v>
      </c>
      <c r="S557" s="154">
        <v>4210.1000000000004</v>
      </c>
      <c r="T557" s="154"/>
      <c r="U557" s="154"/>
      <c r="V557" s="153">
        <v>176037</v>
      </c>
      <c r="W557" s="153">
        <v>107044</v>
      </c>
      <c r="X557" s="153">
        <v>75997</v>
      </c>
      <c r="Y557" s="153">
        <v>92778</v>
      </c>
      <c r="Z557" s="153">
        <v>136891</v>
      </c>
    </row>
    <row r="558" spans="1:26" ht="18" hidden="1" customHeight="1" x14ac:dyDescent="0.2">
      <c r="A558" s="46">
        <f t="shared" si="115"/>
        <v>43409</v>
      </c>
      <c r="B558" s="47" t="s">
        <v>96</v>
      </c>
      <c r="C558" s="48">
        <f t="shared" si="108"/>
        <v>2085</v>
      </c>
      <c r="D558" s="99">
        <f t="shared" si="113"/>
        <v>1768</v>
      </c>
      <c r="E558" s="45">
        <f t="shared" si="114"/>
        <v>1239.0000000000437</v>
      </c>
      <c r="F558" s="45">
        <f t="shared" si="109"/>
        <v>88</v>
      </c>
      <c r="G558" s="79">
        <f t="shared" si="110"/>
        <v>5180.0000000000437</v>
      </c>
      <c r="H558" s="77">
        <v>4486</v>
      </c>
      <c r="I558" s="77">
        <v>963</v>
      </c>
      <c r="J558" s="80">
        <f t="shared" si="116"/>
        <v>5449</v>
      </c>
      <c r="K558" s="81">
        <f t="shared" si="111"/>
        <v>268.99999999995634</v>
      </c>
      <c r="L558" s="43"/>
      <c r="N558" s="112">
        <v>112247</v>
      </c>
      <c r="O558" s="112">
        <v>69806</v>
      </c>
      <c r="P558" s="112">
        <v>4715</v>
      </c>
      <c r="Q558" s="112"/>
      <c r="R558" s="112">
        <v>25141</v>
      </c>
      <c r="S558" s="113">
        <v>4239</v>
      </c>
      <c r="T558" s="113"/>
      <c r="U558" s="113"/>
      <c r="V558" s="112">
        <v>176526</v>
      </c>
      <c r="W558" s="112">
        <v>107087</v>
      </c>
      <c r="X558" s="112">
        <v>76052</v>
      </c>
      <c r="Y558" s="112">
        <v>92778</v>
      </c>
      <c r="Z558" s="112">
        <v>137211</v>
      </c>
    </row>
    <row r="559" spans="1:26" ht="18" hidden="1" customHeight="1" x14ac:dyDescent="0.2">
      <c r="A559" s="46">
        <f t="shared" si="115"/>
        <v>43410</v>
      </c>
      <c r="B559" s="47" t="s">
        <v>97</v>
      </c>
      <c r="C559" s="48">
        <f t="shared" si="108"/>
        <v>1641</v>
      </c>
      <c r="D559" s="99">
        <f t="shared" si="113"/>
        <v>1752</v>
      </c>
      <c r="E559" s="45">
        <f t="shared" si="114"/>
        <v>1323.9999999999127</v>
      </c>
      <c r="F559" s="45">
        <f t="shared" si="109"/>
        <v>69</v>
      </c>
      <c r="G559" s="79">
        <f t="shared" si="110"/>
        <v>4785.9999999999127</v>
      </c>
      <c r="H559" s="77">
        <v>3871</v>
      </c>
      <c r="I559" s="77">
        <v>986</v>
      </c>
      <c r="J559" s="80">
        <f t="shared" si="116"/>
        <v>4857</v>
      </c>
      <c r="K559" s="81">
        <f t="shared" si="111"/>
        <v>71.000000000087311</v>
      </c>
      <c r="L559" s="43"/>
      <c r="N559" s="112">
        <v>112457</v>
      </c>
      <c r="O559" s="112">
        <v>69888</v>
      </c>
      <c r="P559" s="112">
        <v>4726</v>
      </c>
      <c r="Q559" s="112"/>
      <c r="R559" s="112">
        <v>25108</v>
      </c>
      <c r="S559" s="113">
        <v>4249.6000000000004</v>
      </c>
      <c r="T559" s="113"/>
      <c r="U559" s="113"/>
      <c r="V559" s="112">
        <v>176743</v>
      </c>
      <c r="W559" s="112">
        <v>107118</v>
      </c>
      <c r="X559" s="112">
        <v>76125</v>
      </c>
      <c r="Y559" s="112">
        <v>92778</v>
      </c>
      <c r="Z559" s="112">
        <v>137299</v>
      </c>
    </row>
    <row r="560" spans="1:26" ht="18" hidden="1" customHeight="1" x14ac:dyDescent="0.2">
      <c r="A560" s="46">
        <f t="shared" si="115"/>
        <v>43411</v>
      </c>
      <c r="B560" s="47" t="s">
        <v>98</v>
      </c>
      <c r="C560" s="48">
        <f t="shared" si="108"/>
        <v>1686</v>
      </c>
      <c r="D560" s="99">
        <f t="shared" si="113"/>
        <v>1624</v>
      </c>
      <c r="E560" s="45">
        <f t="shared" si="114"/>
        <v>987</v>
      </c>
      <c r="F560" s="45">
        <f t="shared" si="109"/>
        <v>61</v>
      </c>
      <c r="G560" s="79">
        <f t="shared" si="110"/>
        <v>4358</v>
      </c>
      <c r="H560" s="77">
        <v>4730</v>
      </c>
      <c r="I560" s="77">
        <v>969</v>
      </c>
      <c r="J560" s="80">
        <f t="shared" si="116"/>
        <v>5699</v>
      </c>
      <c r="K560" s="81">
        <f t="shared" si="111"/>
        <v>1341</v>
      </c>
      <c r="L560" s="43"/>
      <c r="N560" s="112">
        <v>112667</v>
      </c>
      <c r="O560" s="112">
        <v>69964</v>
      </c>
      <c r="P560" s="112">
        <v>4735</v>
      </c>
      <c r="Q560" s="112"/>
      <c r="R560" s="112">
        <v>25196</v>
      </c>
      <c r="S560" s="113">
        <v>4259.8999999999996</v>
      </c>
      <c r="T560" s="113"/>
      <c r="U560" s="113"/>
      <c r="V560" s="112">
        <v>176936</v>
      </c>
      <c r="W560" s="112">
        <v>107146</v>
      </c>
      <c r="X560" s="112">
        <v>76171</v>
      </c>
      <c r="Y560" s="112">
        <v>92778</v>
      </c>
      <c r="Z560" s="112">
        <v>137368</v>
      </c>
    </row>
    <row r="561" spans="1:26" ht="18" hidden="1" customHeight="1" x14ac:dyDescent="0.2">
      <c r="A561" s="46">
        <f t="shared" si="115"/>
        <v>43412</v>
      </c>
      <c r="B561" s="47" t="s">
        <v>99</v>
      </c>
      <c r="C561" s="48">
        <f t="shared" si="108"/>
        <v>1975</v>
      </c>
      <c r="D561" s="99">
        <f t="shared" si="113"/>
        <v>1352</v>
      </c>
      <c r="E561" s="45">
        <f t="shared" si="114"/>
        <v>997.00000000004366</v>
      </c>
      <c r="F561" s="45">
        <f t="shared" si="109"/>
        <v>59</v>
      </c>
      <c r="G561" s="79">
        <f t="shared" si="110"/>
        <v>4383.0000000000437</v>
      </c>
      <c r="H561" s="77">
        <v>3574</v>
      </c>
      <c r="I561" s="77">
        <v>868</v>
      </c>
      <c r="J561" s="80">
        <f t="shared" si="116"/>
        <v>4442</v>
      </c>
      <c r="K561" s="81">
        <f t="shared" si="111"/>
        <v>58.999999999956344</v>
      </c>
      <c r="L561" s="43"/>
      <c r="N561" s="112">
        <v>112857</v>
      </c>
      <c r="O561" s="112">
        <v>70034</v>
      </c>
      <c r="P561" s="112">
        <v>4748</v>
      </c>
      <c r="Q561" s="112"/>
      <c r="R561" s="112">
        <v>25223</v>
      </c>
      <c r="S561" s="113">
        <v>4267.8999999999996</v>
      </c>
      <c r="T561" s="113"/>
      <c r="U561" s="113"/>
      <c r="V561" s="112">
        <v>177198</v>
      </c>
      <c r="W561" s="112">
        <v>107171</v>
      </c>
      <c r="X561" s="112">
        <v>76223</v>
      </c>
      <c r="Y561" s="112">
        <v>92778</v>
      </c>
      <c r="Z561" s="112">
        <v>137429</v>
      </c>
    </row>
    <row r="562" spans="1:26" ht="18" hidden="1" customHeight="1" x14ac:dyDescent="0.2">
      <c r="A562" s="46">
        <f t="shared" si="115"/>
        <v>43413</v>
      </c>
      <c r="B562" s="47" t="s">
        <v>100</v>
      </c>
      <c r="C562" s="48">
        <f t="shared" si="108"/>
        <v>0</v>
      </c>
      <c r="D562" s="99">
        <f t="shared" si="113"/>
        <v>0</v>
      </c>
      <c r="E562" s="45">
        <f t="shared" si="114"/>
        <v>0</v>
      </c>
      <c r="F562" s="45">
        <f t="shared" si="109"/>
        <v>0</v>
      </c>
      <c r="G562" s="79">
        <f t="shared" si="110"/>
        <v>0</v>
      </c>
      <c r="H562" s="77">
        <v>3602</v>
      </c>
      <c r="I562" s="77">
        <v>784</v>
      </c>
      <c r="J562" s="80">
        <f t="shared" si="116"/>
        <v>4386</v>
      </c>
      <c r="K562" s="81">
        <f t="shared" si="111"/>
        <v>4386</v>
      </c>
      <c r="L562" s="43"/>
      <c r="N562" s="112">
        <v>113017</v>
      </c>
      <c r="O562" s="112">
        <v>70093</v>
      </c>
      <c r="P562" s="112">
        <v>4757</v>
      </c>
      <c r="Q562" s="112"/>
      <c r="R562" s="112">
        <v>25248</v>
      </c>
      <c r="S562" s="113">
        <v>4276</v>
      </c>
      <c r="T562" s="113"/>
      <c r="U562" s="113"/>
      <c r="V562" s="112">
        <v>177429</v>
      </c>
      <c r="W562" s="112">
        <v>107206</v>
      </c>
      <c r="X562" s="112">
        <v>76275</v>
      </c>
      <c r="Y562" s="112">
        <v>92778</v>
      </c>
      <c r="Z562" s="112">
        <v>137488</v>
      </c>
    </row>
    <row r="563" spans="1:26" ht="18" hidden="1" customHeight="1" x14ac:dyDescent="0.2">
      <c r="A563" s="46">
        <f t="shared" si="115"/>
        <v>43414</v>
      </c>
      <c r="B563" s="56" t="s">
        <v>103</v>
      </c>
      <c r="C563" s="48">
        <f t="shared" si="108"/>
        <v>0</v>
      </c>
      <c r="D563" s="99">
        <f t="shared" si="113"/>
        <v>0</v>
      </c>
      <c r="E563" s="45">
        <f t="shared" si="114"/>
        <v>0</v>
      </c>
      <c r="F563" s="45">
        <f t="shared" si="109"/>
        <v>0</v>
      </c>
      <c r="G563" s="79">
        <f t="shared" si="110"/>
        <v>0</v>
      </c>
      <c r="H563" s="77">
        <v>0</v>
      </c>
      <c r="I563" s="77">
        <v>2935</v>
      </c>
      <c r="J563" s="80">
        <f t="shared" si="116"/>
        <v>2935</v>
      </c>
      <c r="K563" s="81">
        <f t="shared" si="111"/>
        <v>2935</v>
      </c>
      <c r="L563" s="43"/>
      <c r="N563" s="153">
        <v>113017</v>
      </c>
      <c r="O563" s="153">
        <v>70093</v>
      </c>
      <c r="P563" s="153">
        <v>4757</v>
      </c>
      <c r="Q563" s="153"/>
      <c r="R563" s="153">
        <v>25248</v>
      </c>
      <c r="S563" s="154">
        <v>4276</v>
      </c>
      <c r="T563" s="154"/>
      <c r="U563" s="154"/>
      <c r="V563" s="153">
        <v>177429</v>
      </c>
      <c r="W563" s="153">
        <v>107206</v>
      </c>
      <c r="X563" s="153">
        <v>76275</v>
      </c>
      <c r="Y563" s="153">
        <v>92778</v>
      </c>
      <c r="Z563" s="153">
        <v>137488</v>
      </c>
    </row>
    <row r="564" spans="1:26" ht="18" hidden="1" customHeight="1" x14ac:dyDescent="0.2">
      <c r="A564" s="46">
        <f t="shared" si="115"/>
        <v>43415</v>
      </c>
      <c r="B564" s="56" t="s">
        <v>104</v>
      </c>
      <c r="C564" s="48">
        <f t="shared" si="108"/>
        <v>2789</v>
      </c>
      <c r="D564" s="99">
        <f t="shared" si="113"/>
        <v>3280</v>
      </c>
      <c r="E564" s="45">
        <f t="shared" si="114"/>
        <v>3557</v>
      </c>
      <c r="F564" s="45">
        <f t="shared" si="109"/>
        <v>212</v>
      </c>
      <c r="G564" s="79">
        <f t="shared" si="110"/>
        <v>9838</v>
      </c>
      <c r="H564" s="77">
        <v>0</v>
      </c>
      <c r="I564" s="77">
        <v>2927</v>
      </c>
      <c r="J564" s="80">
        <f t="shared" si="116"/>
        <v>2927</v>
      </c>
      <c r="K564" s="81">
        <f t="shared" si="111"/>
        <v>-6911</v>
      </c>
      <c r="L564" s="43"/>
      <c r="N564" s="153">
        <v>113017</v>
      </c>
      <c r="O564" s="153">
        <v>70093</v>
      </c>
      <c r="P564" s="153">
        <v>4757</v>
      </c>
      <c r="Q564" s="153"/>
      <c r="R564" s="153">
        <v>25248</v>
      </c>
      <c r="S564" s="154">
        <v>4276</v>
      </c>
      <c r="T564" s="154"/>
      <c r="U564" s="154"/>
      <c r="V564" s="153">
        <v>177429</v>
      </c>
      <c r="W564" s="153">
        <v>107206</v>
      </c>
      <c r="X564" s="153">
        <v>76275</v>
      </c>
      <c r="Y564" s="153">
        <v>92778</v>
      </c>
      <c r="Z564" s="153">
        <v>137488</v>
      </c>
    </row>
    <row r="565" spans="1:26" ht="18" hidden="1" customHeight="1" x14ac:dyDescent="0.2">
      <c r="A565" s="46">
        <f t="shared" si="115"/>
        <v>43416</v>
      </c>
      <c r="B565" s="56" t="s">
        <v>105</v>
      </c>
      <c r="C565" s="48">
        <f t="shared" si="108"/>
        <v>1665</v>
      </c>
      <c r="D565" s="99">
        <f t="shared" si="113"/>
        <v>1312</v>
      </c>
      <c r="E565" s="45">
        <f t="shared" si="114"/>
        <v>1368.9999999999782</v>
      </c>
      <c r="F565" s="45">
        <f t="shared" si="109"/>
        <v>89</v>
      </c>
      <c r="G565" s="79">
        <f t="shared" si="110"/>
        <v>4434.9999999999782</v>
      </c>
      <c r="H565" s="77">
        <v>3790</v>
      </c>
      <c r="I565" s="77">
        <v>771</v>
      </c>
      <c r="J565" s="80">
        <f t="shared" si="116"/>
        <v>4561</v>
      </c>
      <c r="K565" s="81">
        <f t="shared" si="111"/>
        <v>126.00000000002183</v>
      </c>
      <c r="L565" s="43"/>
      <c r="N565" s="112">
        <v>113407</v>
      </c>
      <c r="O565" s="112">
        <v>70237</v>
      </c>
      <c r="P565" s="112">
        <v>4777</v>
      </c>
      <c r="Q565" s="112"/>
      <c r="R565" s="112">
        <v>25325</v>
      </c>
      <c r="S565" s="113">
        <v>4305</v>
      </c>
      <c r="T565" s="113"/>
      <c r="U565" s="113"/>
      <c r="V565" s="112">
        <v>177918</v>
      </c>
      <c r="W565" s="112">
        <v>107258</v>
      </c>
      <c r="X565" s="112">
        <v>76328</v>
      </c>
      <c r="Y565" s="112">
        <v>92778</v>
      </c>
      <c r="Z565" s="112">
        <v>137700</v>
      </c>
    </row>
    <row r="566" spans="1:26" ht="18" hidden="1" customHeight="1" x14ac:dyDescent="0.2">
      <c r="A566" s="46">
        <f t="shared" si="115"/>
        <v>43417</v>
      </c>
      <c r="B566" s="47" t="s">
        <v>97</v>
      </c>
      <c r="C566" s="48">
        <f t="shared" si="108"/>
        <v>1833</v>
      </c>
      <c r="D566" s="99">
        <f t="shared" si="113"/>
        <v>472</v>
      </c>
      <c r="E566" s="45">
        <f t="shared" si="114"/>
        <v>1249.9999999999782</v>
      </c>
      <c r="F566" s="45">
        <f t="shared" si="109"/>
        <v>65</v>
      </c>
      <c r="G566" s="79">
        <f t="shared" si="110"/>
        <v>3619.9999999999782</v>
      </c>
      <c r="H566" s="77">
        <v>3742</v>
      </c>
      <c r="I566" s="77">
        <v>785</v>
      </c>
      <c r="J566" s="80">
        <f t="shared" si="116"/>
        <v>4527</v>
      </c>
      <c r="K566" s="81">
        <f t="shared" si="111"/>
        <v>907.00000000002183</v>
      </c>
      <c r="L566" s="43"/>
      <c r="N566" s="112">
        <v>113557</v>
      </c>
      <c r="O566" s="112">
        <v>70294</v>
      </c>
      <c r="P566" s="112">
        <v>4791</v>
      </c>
      <c r="Q566" s="112"/>
      <c r="R566" s="112">
        <v>25350</v>
      </c>
      <c r="S566" s="113">
        <v>4316.2</v>
      </c>
      <c r="T566" s="113"/>
      <c r="U566" s="113"/>
      <c r="V566" s="112">
        <v>178119</v>
      </c>
      <c r="W566" s="112">
        <v>107285</v>
      </c>
      <c r="X566" s="112">
        <v>76378</v>
      </c>
      <c r="Y566" s="112">
        <v>92778</v>
      </c>
      <c r="Z566" s="112">
        <v>137789</v>
      </c>
    </row>
    <row r="567" spans="1:26" ht="18" hidden="1" customHeight="1" x14ac:dyDescent="0.2">
      <c r="A567" s="46">
        <f t="shared" si="115"/>
        <v>43418</v>
      </c>
      <c r="B567" s="47" t="s">
        <v>98</v>
      </c>
      <c r="C567" s="48">
        <f t="shared" si="108"/>
        <v>1839</v>
      </c>
      <c r="D567" s="99">
        <f t="shared" si="113"/>
        <v>1664</v>
      </c>
      <c r="E567" s="45">
        <f t="shared" si="114"/>
        <v>1188.0000000000873</v>
      </c>
      <c r="F567" s="45">
        <f t="shared" si="109"/>
        <v>72</v>
      </c>
      <c r="G567" s="79">
        <f t="shared" si="110"/>
        <v>4763.0000000000873</v>
      </c>
      <c r="H567" s="77">
        <v>3751</v>
      </c>
      <c r="I567" s="77">
        <v>780</v>
      </c>
      <c r="J567" s="80">
        <f t="shared" si="116"/>
        <v>4531</v>
      </c>
      <c r="K567" s="81">
        <f t="shared" si="111"/>
        <v>-232.00000000008731</v>
      </c>
      <c r="L567" s="43"/>
      <c r="N567" s="112">
        <v>113607</v>
      </c>
      <c r="O567" s="112">
        <v>70349</v>
      </c>
      <c r="P567" s="112">
        <v>4800</v>
      </c>
      <c r="Q567" s="112"/>
      <c r="R567" s="112">
        <v>25376</v>
      </c>
      <c r="S567" s="113">
        <v>4326.3999999999996</v>
      </c>
      <c r="T567" s="113"/>
      <c r="U567" s="113"/>
      <c r="V567" s="112">
        <v>178316</v>
      </c>
      <c r="W567" s="112">
        <v>107314</v>
      </c>
      <c r="X567" s="112">
        <v>76437</v>
      </c>
      <c r="Y567" s="112">
        <v>92778</v>
      </c>
      <c r="Z567" s="112">
        <v>137854</v>
      </c>
    </row>
    <row r="568" spans="1:26" ht="18" hidden="1" customHeight="1" x14ac:dyDescent="0.2">
      <c r="A568" s="46">
        <f t="shared" si="115"/>
        <v>43419</v>
      </c>
      <c r="B568" s="47" t="s">
        <v>99</v>
      </c>
      <c r="C568" s="48">
        <f t="shared" si="108"/>
        <v>1990</v>
      </c>
      <c r="D568" s="99">
        <f t="shared" si="113"/>
        <v>1832</v>
      </c>
      <c r="E568" s="45">
        <f t="shared" si="114"/>
        <v>1069.9999999999782</v>
      </c>
      <c r="F568" s="45">
        <f t="shared" si="109"/>
        <v>72</v>
      </c>
      <c r="G568" s="79">
        <f t="shared" si="110"/>
        <v>4963.9999999999782</v>
      </c>
      <c r="H568" s="77">
        <v>3787</v>
      </c>
      <c r="I568" s="77">
        <v>840</v>
      </c>
      <c r="J568" s="80">
        <f t="shared" si="116"/>
        <v>4627</v>
      </c>
      <c r="K568" s="81">
        <f t="shared" si="111"/>
        <v>-336.99999999997817</v>
      </c>
      <c r="L568" s="43"/>
      <c r="N568" s="112">
        <v>113807</v>
      </c>
      <c r="O568" s="112">
        <v>70407</v>
      </c>
      <c r="P568" s="112">
        <v>4808</v>
      </c>
      <c r="Q568" s="112"/>
      <c r="R568" s="112">
        <v>25400</v>
      </c>
      <c r="S568" s="113">
        <v>4336.1000000000004</v>
      </c>
      <c r="T568" s="113"/>
      <c r="U568" s="113"/>
      <c r="V568" s="112">
        <v>178519</v>
      </c>
      <c r="W568" s="112">
        <v>107343</v>
      </c>
      <c r="X568" s="112">
        <v>76496</v>
      </c>
      <c r="Y568" s="112">
        <v>92778</v>
      </c>
      <c r="Z568" s="112">
        <v>137926</v>
      </c>
    </row>
    <row r="569" spans="1:26" ht="18" hidden="1" customHeight="1" x14ac:dyDescent="0.2">
      <c r="A569" s="46">
        <f t="shared" si="115"/>
        <v>43420</v>
      </c>
      <c r="B569" s="47" t="s">
        <v>100</v>
      </c>
      <c r="C569" s="48">
        <f t="shared" si="108"/>
        <v>0</v>
      </c>
      <c r="D569" s="99">
        <f t="shared" si="113"/>
        <v>0</v>
      </c>
      <c r="E569" s="45">
        <f t="shared" si="114"/>
        <v>0</v>
      </c>
      <c r="F569" s="45">
        <f t="shared" si="109"/>
        <v>0</v>
      </c>
      <c r="G569" s="79">
        <f t="shared" si="110"/>
        <v>0</v>
      </c>
      <c r="H569" s="77">
        <v>3831</v>
      </c>
      <c r="I569" s="77">
        <v>856</v>
      </c>
      <c r="J569" s="80">
        <f t="shared" si="116"/>
        <v>4687</v>
      </c>
      <c r="K569" s="81">
        <f t="shared" si="111"/>
        <v>4687</v>
      </c>
      <c r="L569" s="43"/>
      <c r="N569" s="112">
        <v>114027</v>
      </c>
      <c r="O569" s="112">
        <v>70469</v>
      </c>
      <c r="P569" s="112">
        <v>4817</v>
      </c>
      <c r="Q569" s="112"/>
      <c r="R569" s="112">
        <v>25426</v>
      </c>
      <c r="S569" s="113">
        <v>4344.8</v>
      </c>
      <c r="T569" s="113"/>
      <c r="U569" s="113"/>
      <c r="V569" s="112">
        <v>178721</v>
      </c>
      <c r="W569" s="112">
        <v>107373</v>
      </c>
      <c r="X569" s="112">
        <v>76565</v>
      </c>
      <c r="Y569" s="112">
        <v>92778</v>
      </c>
      <c r="Z569" s="112">
        <v>137998</v>
      </c>
    </row>
    <row r="570" spans="1:26" ht="18" hidden="1" customHeight="1" x14ac:dyDescent="0.2">
      <c r="A570" s="46">
        <f t="shared" si="115"/>
        <v>43421</v>
      </c>
      <c r="B570" s="47" t="s">
        <v>101</v>
      </c>
      <c r="C570" s="48">
        <f t="shared" si="108"/>
        <v>0</v>
      </c>
      <c r="D570" s="99">
        <f t="shared" si="113"/>
        <v>0</v>
      </c>
      <c r="E570" s="45">
        <f t="shared" si="114"/>
        <v>0</v>
      </c>
      <c r="F570" s="45">
        <f t="shared" si="109"/>
        <v>0</v>
      </c>
      <c r="G570" s="79">
        <f t="shared" si="110"/>
        <v>0</v>
      </c>
      <c r="H570" s="77">
        <v>0</v>
      </c>
      <c r="I570" s="77">
        <v>2973</v>
      </c>
      <c r="J570" s="80">
        <f t="shared" si="116"/>
        <v>2973</v>
      </c>
      <c r="K570" s="81">
        <f t="shared" si="111"/>
        <v>2973</v>
      </c>
      <c r="L570" s="43"/>
      <c r="N570" s="153">
        <v>114027</v>
      </c>
      <c r="O570" s="153">
        <v>70469</v>
      </c>
      <c r="P570" s="153">
        <v>4817</v>
      </c>
      <c r="Q570" s="153"/>
      <c r="R570" s="153">
        <v>25426</v>
      </c>
      <c r="S570" s="154">
        <v>4344.8</v>
      </c>
      <c r="T570" s="154"/>
      <c r="U570" s="154"/>
      <c r="V570" s="153">
        <v>178721</v>
      </c>
      <c r="W570" s="153">
        <v>107373</v>
      </c>
      <c r="X570" s="153">
        <v>76565</v>
      </c>
      <c r="Y570" s="153">
        <v>92778</v>
      </c>
      <c r="Z570" s="153">
        <v>137998</v>
      </c>
    </row>
    <row r="571" spans="1:26" ht="18" hidden="1" customHeight="1" x14ac:dyDescent="0.2">
      <c r="A571" s="46">
        <f t="shared" si="115"/>
        <v>43422</v>
      </c>
      <c r="B571" s="47" t="s">
        <v>95</v>
      </c>
      <c r="C571" s="48">
        <f t="shared" si="108"/>
        <v>2786</v>
      </c>
      <c r="D571" s="99">
        <f t="shared" si="113"/>
        <v>3552</v>
      </c>
      <c r="E571" s="45">
        <f t="shared" si="114"/>
        <v>3680</v>
      </c>
      <c r="F571" s="45">
        <f t="shared" si="109"/>
        <v>215</v>
      </c>
      <c r="G571" s="79">
        <f t="shared" si="110"/>
        <v>10233</v>
      </c>
      <c r="H571" s="77">
        <v>0</v>
      </c>
      <c r="I571" s="77">
        <v>3062</v>
      </c>
      <c r="J571" s="80">
        <f t="shared" si="116"/>
        <v>3062</v>
      </c>
      <c r="K571" s="81">
        <f t="shared" si="111"/>
        <v>-7171</v>
      </c>
      <c r="L571" s="43"/>
      <c r="N571" s="153">
        <v>114027</v>
      </c>
      <c r="O571" s="153">
        <v>70469</v>
      </c>
      <c r="P571" s="153">
        <v>4817</v>
      </c>
      <c r="Q571" s="153"/>
      <c r="R571" s="153">
        <v>25426</v>
      </c>
      <c r="S571" s="154">
        <v>4344.8</v>
      </c>
      <c r="T571" s="154"/>
      <c r="U571" s="154"/>
      <c r="V571" s="153">
        <v>178721</v>
      </c>
      <c r="W571" s="153">
        <v>107373</v>
      </c>
      <c r="X571" s="153">
        <v>76565</v>
      </c>
      <c r="Y571" s="153">
        <v>92778</v>
      </c>
      <c r="Z571" s="153">
        <v>137998</v>
      </c>
    </row>
    <row r="572" spans="1:26" ht="18" hidden="1" customHeight="1" x14ac:dyDescent="0.2">
      <c r="A572" s="46">
        <f t="shared" si="115"/>
        <v>43423</v>
      </c>
      <c r="B572" s="47" t="s">
        <v>96</v>
      </c>
      <c r="C572" s="48">
        <f t="shared" si="108"/>
        <v>1744</v>
      </c>
      <c r="D572" s="99">
        <f t="shared" si="113"/>
        <v>1432</v>
      </c>
      <c r="E572" s="45">
        <f t="shared" si="114"/>
        <v>1392.9999999999563</v>
      </c>
      <c r="F572" s="45">
        <f t="shared" si="109"/>
        <v>86</v>
      </c>
      <c r="G572" s="79">
        <f t="shared" si="110"/>
        <v>4654.9999999999563</v>
      </c>
      <c r="H572" s="77">
        <v>3948</v>
      </c>
      <c r="I572" s="77">
        <v>798</v>
      </c>
      <c r="J572" s="80">
        <f t="shared" si="116"/>
        <v>4746</v>
      </c>
      <c r="K572" s="81">
        <f t="shared" si="111"/>
        <v>91.000000000043656</v>
      </c>
      <c r="L572" s="43"/>
      <c r="N572" s="112">
        <v>114447</v>
      </c>
      <c r="O572" s="112">
        <v>70625</v>
      </c>
      <c r="P572" s="112">
        <v>4841</v>
      </c>
      <c r="Q572" s="112"/>
      <c r="R572" s="112">
        <v>25506</v>
      </c>
      <c r="S572" s="113">
        <v>4374.8</v>
      </c>
      <c r="T572" s="113"/>
      <c r="U572" s="113"/>
      <c r="V572" s="112">
        <v>179227</v>
      </c>
      <c r="W572" s="112">
        <v>107421</v>
      </c>
      <c r="X572" s="112">
        <v>76627</v>
      </c>
      <c r="Y572" s="112">
        <v>92778</v>
      </c>
      <c r="Z572" s="112">
        <v>138213</v>
      </c>
    </row>
    <row r="573" spans="1:26" ht="18" hidden="1" customHeight="1" x14ac:dyDescent="0.2">
      <c r="A573" s="46">
        <f t="shared" si="115"/>
        <v>43424</v>
      </c>
      <c r="B573" s="47" t="s">
        <v>97</v>
      </c>
      <c r="C573" s="48">
        <f t="shared" si="108"/>
        <v>1624</v>
      </c>
      <c r="D573" s="99">
        <f t="shared" si="113"/>
        <v>552</v>
      </c>
      <c r="E573" s="45">
        <f t="shared" si="114"/>
        <v>1176.0000000000437</v>
      </c>
      <c r="F573" s="45">
        <f t="shared" si="109"/>
        <v>84</v>
      </c>
      <c r="G573" s="79">
        <f t="shared" si="110"/>
        <v>3436.0000000000437</v>
      </c>
      <c r="H573" s="77">
        <v>3538</v>
      </c>
      <c r="I573" s="77">
        <v>851</v>
      </c>
      <c r="J573" s="80">
        <f t="shared" si="116"/>
        <v>4389</v>
      </c>
      <c r="K573" s="81">
        <f t="shared" si="111"/>
        <v>952.99999999995634</v>
      </c>
      <c r="L573" s="43"/>
      <c r="N573" s="112">
        <v>114617</v>
      </c>
      <c r="O573" s="112">
        <v>70688</v>
      </c>
      <c r="P573" s="112">
        <v>4850</v>
      </c>
      <c r="Q573" s="112"/>
      <c r="R573" s="112">
        <v>25531</v>
      </c>
      <c r="S573" s="113">
        <v>4386.2</v>
      </c>
      <c r="T573" s="113"/>
      <c r="U573" s="113"/>
      <c r="V573" s="112">
        <v>179419</v>
      </c>
      <c r="W573" s="112">
        <v>107447</v>
      </c>
      <c r="X573" s="112">
        <v>76687</v>
      </c>
      <c r="Y573" s="112">
        <v>92778</v>
      </c>
      <c r="Z573" s="112">
        <v>138299</v>
      </c>
    </row>
    <row r="574" spans="1:26" ht="18" hidden="1" customHeight="1" x14ac:dyDescent="0.2">
      <c r="A574" s="46">
        <f t="shared" si="115"/>
        <v>43425</v>
      </c>
      <c r="B574" s="47" t="s">
        <v>98</v>
      </c>
      <c r="C574" s="48">
        <f t="shared" si="108"/>
        <v>1734</v>
      </c>
      <c r="D574" s="99">
        <f t="shared" si="113"/>
        <v>2832</v>
      </c>
      <c r="E574" s="45">
        <f t="shared" si="114"/>
        <v>1104</v>
      </c>
      <c r="F574" s="45">
        <f t="shared" si="109"/>
        <v>90</v>
      </c>
      <c r="G574" s="79">
        <f t="shared" si="110"/>
        <v>5760</v>
      </c>
      <c r="H574" s="77">
        <v>3709</v>
      </c>
      <c r="I574" s="77">
        <v>795</v>
      </c>
      <c r="J574" s="80">
        <f t="shared" si="116"/>
        <v>4504</v>
      </c>
      <c r="K574" s="81">
        <f t="shared" si="111"/>
        <v>-1256</v>
      </c>
      <c r="L574" s="43"/>
      <c r="N574" s="112">
        <v>114677</v>
      </c>
      <c r="O574" s="112">
        <v>70744</v>
      </c>
      <c r="P574" s="112">
        <v>4859</v>
      </c>
      <c r="Q574" s="112"/>
      <c r="R574" s="112">
        <v>25555</v>
      </c>
      <c r="S574" s="113">
        <v>4395.8</v>
      </c>
      <c r="T574" s="113"/>
      <c r="U574" s="113"/>
      <c r="V574" s="112">
        <v>179607</v>
      </c>
      <c r="W574" s="112">
        <v>107472</v>
      </c>
      <c r="X574" s="112">
        <v>76740</v>
      </c>
      <c r="Y574" s="112">
        <v>92778</v>
      </c>
      <c r="Z574" s="112">
        <v>138383</v>
      </c>
    </row>
    <row r="575" spans="1:26" ht="18" hidden="1" customHeight="1" x14ac:dyDescent="0.2">
      <c r="A575" s="46">
        <f t="shared" si="115"/>
        <v>43426</v>
      </c>
      <c r="B575" s="47" t="s">
        <v>99</v>
      </c>
      <c r="C575" s="48">
        <f t="shared" si="108"/>
        <v>1805</v>
      </c>
      <c r="D575" s="99">
        <f t="shared" si="113"/>
        <v>552</v>
      </c>
      <c r="E575" s="45">
        <f t="shared" si="114"/>
        <v>1165</v>
      </c>
      <c r="F575" s="45">
        <f t="shared" si="109"/>
        <v>96</v>
      </c>
      <c r="G575" s="79">
        <f t="shared" si="110"/>
        <v>3618</v>
      </c>
      <c r="H575" s="77">
        <v>3614</v>
      </c>
      <c r="I575" s="77">
        <v>806</v>
      </c>
      <c r="J575" s="80">
        <f t="shared" si="116"/>
        <v>4420</v>
      </c>
      <c r="K575" s="81">
        <f t="shared" si="111"/>
        <v>802</v>
      </c>
      <c r="L575" s="43"/>
      <c r="N575" s="112">
        <v>115017</v>
      </c>
      <c r="O575" s="112">
        <v>70801</v>
      </c>
      <c r="P575" s="112">
        <v>4873</v>
      </c>
      <c r="Q575" s="112"/>
      <c r="R575" s="112">
        <v>25579</v>
      </c>
      <c r="S575" s="113">
        <v>4404.8</v>
      </c>
      <c r="T575" s="113"/>
      <c r="U575" s="113"/>
      <c r="V575" s="112">
        <v>179793</v>
      </c>
      <c r="W575" s="112">
        <v>107502</v>
      </c>
      <c r="X575" s="112">
        <v>76789</v>
      </c>
      <c r="Y575" s="112">
        <v>92778</v>
      </c>
      <c r="Z575" s="112">
        <v>138473</v>
      </c>
    </row>
    <row r="576" spans="1:26" ht="18" hidden="1" customHeight="1" x14ac:dyDescent="0.2">
      <c r="A576" s="46">
        <f t="shared" si="115"/>
        <v>43427</v>
      </c>
      <c r="B576" s="47" t="s">
        <v>100</v>
      </c>
      <c r="C576" s="48">
        <f t="shared" si="108"/>
        <v>0</v>
      </c>
      <c r="D576" s="99">
        <f t="shared" si="113"/>
        <v>0</v>
      </c>
      <c r="E576" s="45">
        <f t="shared" si="114"/>
        <v>0</v>
      </c>
      <c r="F576" s="45">
        <f t="shared" si="109"/>
        <v>0</v>
      </c>
      <c r="G576" s="79">
        <f t="shared" si="110"/>
        <v>0</v>
      </c>
      <c r="H576" s="77">
        <v>3584</v>
      </c>
      <c r="I576" s="77">
        <v>850</v>
      </c>
      <c r="J576" s="80">
        <f t="shared" si="116"/>
        <v>4434</v>
      </c>
      <c r="K576" s="81">
        <f t="shared" si="111"/>
        <v>4434</v>
      </c>
      <c r="L576" s="43"/>
      <c r="N576" s="112">
        <v>115077</v>
      </c>
      <c r="O576" s="112">
        <v>70859</v>
      </c>
      <c r="P576" s="112">
        <v>4882</v>
      </c>
      <c r="Q576" s="112"/>
      <c r="R576" s="112">
        <v>25604</v>
      </c>
      <c r="S576" s="113">
        <v>4414.3</v>
      </c>
      <c r="T576" s="113"/>
      <c r="U576" s="113"/>
      <c r="V576" s="112">
        <v>179966</v>
      </c>
      <c r="W576" s="112">
        <v>107526</v>
      </c>
      <c r="X576" s="112">
        <v>76861</v>
      </c>
      <c r="Y576" s="112">
        <v>92778</v>
      </c>
      <c r="Z576" s="112">
        <v>138569</v>
      </c>
    </row>
    <row r="577" spans="1:26" ht="18" hidden="1" customHeight="1" x14ac:dyDescent="0.2">
      <c r="A577" s="46">
        <f t="shared" si="115"/>
        <v>43428</v>
      </c>
      <c r="B577" s="47" t="s">
        <v>101</v>
      </c>
      <c r="C577" s="48">
        <f t="shared" si="108"/>
        <v>0</v>
      </c>
      <c r="D577" s="99">
        <f t="shared" si="113"/>
        <v>0</v>
      </c>
      <c r="E577" s="45">
        <f t="shared" si="114"/>
        <v>0</v>
      </c>
      <c r="F577" s="45">
        <f t="shared" si="109"/>
        <v>0</v>
      </c>
      <c r="G577" s="79">
        <f t="shared" si="110"/>
        <v>0</v>
      </c>
      <c r="H577" s="77">
        <v>0</v>
      </c>
      <c r="I577" s="77">
        <v>3091</v>
      </c>
      <c r="J577" s="80">
        <f t="shared" si="116"/>
        <v>3091</v>
      </c>
      <c r="K577" s="81">
        <f t="shared" si="111"/>
        <v>3091</v>
      </c>
      <c r="L577" s="43"/>
      <c r="N577" s="153">
        <v>115077</v>
      </c>
      <c r="O577" s="153">
        <v>70859</v>
      </c>
      <c r="P577" s="153">
        <v>4882</v>
      </c>
      <c r="Q577" s="153"/>
      <c r="R577" s="153">
        <v>25604</v>
      </c>
      <c r="S577" s="154">
        <v>4414.3</v>
      </c>
      <c r="T577" s="154"/>
      <c r="U577" s="154"/>
      <c r="V577" s="153">
        <v>179966</v>
      </c>
      <c r="W577" s="153">
        <v>107526</v>
      </c>
      <c r="X577" s="153">
        <v>76861</v>
      </c>
      <c r="Y577" s="153">
        <v>92778</v>
      </c>
      <c r="Z577" s="153">
        <v>138569</v>
      </c>
    </row>
    <row r="578" spans="1:26" ht="18" hidden="1" customHeight="1" x14ac:dyDescent="0.2">
      <c r="A578" s="46">
        <f t="shared" si="115"/>
        <v>43429</v>
      </c>
      <c r="B578" s="47" t="s">
        <v>95</v>
      </c>
      <c r="C578" s="48">
        <f t="shared" si="108"/>
        <v>2436</v>
      </c>
      <c r="D578" s="99">
        <f t="shared" si="113"/>
        <v>3912</v>
      </c>
      <c r="E578" s="45">
        <f t="shared" si="114"/>
        <v>3385.9999999999345</v>
      </c>
      <c r="F578" s="45">
        <f t="shared" si="109"/>
        <v>310</v>
      </c>
      <c r="G578" s="79">
        <f t="shared" si="110"/>
        <v>10043.999999999935</v>
      </c>
      <c r="H578" s="77">
        <v>0</v>
      </c>
      <c r="I578" s="77">
        <v>2938</v>
      </c>
      <c r="J578" s="80">
        <f t="shared" si="116"/>
        <v>2938</v>
      </c>
      <c r="K578" s="81">
        <f t="shared" si="111"/>
        <v>-7105.9999999999345</v>
      </c>
      <c r="L578" s="43"/>
      <c r="N578" s="153">
        <v>115077</v>
      </c>
      <c r="O578" s="153">
        <v>70859</v>
      </c>
      <c r="P578" s="153">
        <v>4882</v>
      </c>
      <c r="Q578" s="153"/>
      <c r="R578" s="153">
        <v>25604</v>
      </c>
      <c r="S578" s="154">
        <v>4414.3</v>
      </c>
      <c r="T578" s="154"/>
      <c r="U578" s="154"/>
      <c r="V578" s="153">
        <v>179966</v>
      </c>
      <c r="W578" s="153">
        <v>107526</v>
      </c>
      <c r="X578" s="153">
        <v>76861</v>
      </c>
      <c r="Y578" s="153">
        <v>92778</v>
      </c>
      <c r="Z578" s="153">
        <v>138569</v>
      </c>
    </row>
    <row r="579" spans="1:26" ht="18" hidden="1" customHeight="1" x14ac:dyDescent="0.2">
      <c r="A579" s="46">
        <f t="shared" si="115"/>
        <v>43430</v>
      </c>
      <c r="B579" s="47" t="s">
        <v>96</v>
      </c>
      <c r="C579" s="48">
        <f t="shared" si="108"/>
        <v>1620</v>
      </c>
      <c r="D579" s="99">
        <f t="shared" si="113"/>
        <v>1536</v>
      </c>
      <c r="E579" s="45">
        <f t="shared" si="114"/>
        <v>1346</v>
      </c>
      <c r="F579" s="45">
        <f t="shared" si="109"/>
        <v>99</v>
      </c>
      <c r="G579" s="79">
        <f t="shared" si="110"/>
        <v>4601</v>
      </c>
      <c r="H579" s="77">
        <v>3833</v>
      </c>
      <c r="I579" s="77">
        <v>748</v>
      </c>
      <c r="J579" s="80">
        <f t="shared" si="116"/>
        <v>4581</v>
      </c>
      <c r="K579" s="81">
        <f t="shared" si="111"/>
        <v>-20</v>
      </c>
      <c r="L579" s="43"/>
      <c r="N579" s="112">
        <v>115547</v>
      </c>
      <c r="O579" s="112">
        <v>71036</v>
      </c>
      <c r="P579" s="112">
        <v>4901</v>
      </c>
      <c r="Q579" s="112"/>
      <c r="R579" s="112">
        <v>25678</v>
      </c>
      <c r="S579" s="113">
        <v>4441.8999999999996</v>
      </c>
      <c r="T579" s="113"/>
      <c r="U579" s="113"/>
      <c r="V579" s="112">
        <v>180198</v>
      </c>
      <c r="W579" s="112">
        <v>107572</v>
      </c>
      <c r="X579" s="112">
        <v>76922</v>
      </c>
      <c r="Y579" s="112">
        <v>92778</v>
      </c>
      <c r="Z579" s="112">
        <v>138879</v>
      </c>
    </row>
    <row r="580" spans="1:26" ht="18" hidden="1" customHeight="1" x14ac:dyDescent="0.2">
      <c r="A580" s="46">
        <f t="shared" si="115"/>
        <v>43431</v>
      </c>
      <c r="B580" s="47" t="s">
        <v>97</v>
      </c>
      <c r="C580" s="48">
        <f t="shared" si="108"/>
        <v>1865</v>
      </c>
      <c r="D580" s="99">
        <f t="shared" si="113"/>
        <v>1520</v>
      </c>
      <c r="E580" s="45">
        <f t="shared" si="114"/>
        <v>1165</v>
      </c>
      <c r="F580" s="45">
        <f t="shared" si="109"/>
        <v>99</v>
      </c>
      <c r="G580" s="79">
        <f t="shared" si="110"/>
        <v>4649</v>
      </c>
      <c r="H580" s="77">
        <v>3955</v>
      </c>
      <c r="I580" s="77">
        <v>876</v>
      </c>
      <c r="J580" s="80">
        <f t="shared" si="116"/>
        <v>4831</v>
      </c>
      <c r="K580" s="81">
        <f t="shared" si="111"/>
        <v>182</v>
      </c>
      <c r="L580" s="43"/>
      <c r="N580" s="112">
        <v>115727</v>
      </c>
      <c r="O580" s="112">
        <v>71105</v>
      </c>
      <c r="P580" s="112">
        <v>4913</v>
      </c>
      <c r="Q580" s="112"/>
      <c r="R580" s="112">
        <v>25704</v>
      </c>
      <c r="S580" s="113">
        <v>4452.8999999999996</v>
      </c>
      <c r="T580" s="113"/>
      <c r="U580" s="113"/>
      <c r="V580" s="112">
        <v>180266</v>
      </c>
      <c r="W580" s="112">
        <v>107598</v>
      </c>
      <c r="X580" s="112">
        <v>76982</v>
      </c>
      <c r="Y580" s="112">
        <v>92778</v>
      </c>
      <c r="Z580" s="112">
        <v>138978</v>
      </c>
    </row>
    <row r="581" spans="1:26" ht="18" hidden="1" customHeight="1" x14ac:dyDescent="0.2">
      <c r="A581" s="46">
        <f t="shared" si="115"/>
        <v>43432</v>
      </c>
      <c r="B581" s="47" t="s">
        <v>98</v>
      </c>
      <c r="C581" s="48">
        <f t="shared" si="108"/>
        <v>1914</v>
      </c>
      <c r="D581" s="99">
        <f t="shared" si="113"/>
        <v>1600</v>
      </c>
      <c r="E581" s="45">
        <f t="shared" si="114"/>
        <v>1070.0000000000873</v>
      </c>
      <c r="F581" s="45">
        <f t="shared" si="109"/>
        <v>117</v>
      </c>
      <c r="G581" s="79">
        <f t="shared" si="110"/>
        <v>4701.0000000000873</v>
      </c>
      <c r="H581" s="77">
        <v>3913</v>
      </c>
      <c r="I581" s="77">
        <v>877</v>
      </c>
      <c r="J581" s="80">
        <f t="shared" si="116"/>
        <v>4790</v>
      </c>
      <c r="K581" s="81">
        <f t="shared" si="111"/>
        <v>88.999999999912689</v>
      </c>
      <c r="L581" s="43"/>
      <c r="N581" s="112">
        <v>115907</v>
      </c>
      <c r="O581" s="112">
        <v>71774</v>
      </c>
      <c r="P581" s="112">
        <v>4923</v>
      </c>
      <c r="Q581" s="112"/>
      <c r="R581" s="112">
        <v>25729</v>
      </c>
      <c r="S581" s="113">
        <v>4462.3999999999996</v>
      </c>
      <c r="T581" s="113"/>
      <c r="U581" s="113"/>
      <c r="V581" s="112">
        <v>180331</v>
      </c>
      <c r="W581" s="112">
        <v>107628</v>
      </c>
      <c r="X581" s="112">
        <v>77052</v>
      </c>
      <c r="Y581" s="112">
        <v>92778</v>
      </c>
      <c r="Z581" s="112">
        <v>139077</v>
      </c>
    </row>
    <row r="582" spans="1:26" ht="18" hidden="1" customHeight="1" x14ac:dyDescent="0.2">
      <c r="A582" s="46">
        <f t="shared" si="115"/>
        <v>43433</v>
      </c>
      <c r="B582" s="47" t="s">
        <v>99</v>
      </c>
      <c r="C582" s="48">
        <f t="shared" si="108"/>
        <v>1758</v>
      </c>
      <c r="D582" s="99">
        <f t="shared" si="113"/>
        <v>1512</v>
      </c>
      <c r="E582" s="45">
        <f t="shared" si="114"/>
        <v>1152.9999999999563</v>
      </c>
      <c r="F582" s="45">
        <f t="shared" si="109"/>
        <v>116</v>
      </c>
      <c r="G582" s="79">
        <f t="shared" si="110"/>
        <v>4538.9999999999563</v>
      </c>
      <c r="H582" s="77">
        <v>3913</v>
      </c>
      <c r="I582" s="77">
        <v>901</v>
      </c>
      <c r="J582" s="80">
        <f t="shared" si="116"/>
        <v>4814</v>
      </c>
      <c r="K582" s="81">
        <f t="shared" si="111"/>
        <v>275.00000000004366</v>
      </c>
      <c r="L582" s="43"/>
      <c r="N582" s="112">
        <v>116097</v>
      </c>
      <c r="O582" s="112">
        <v>71246</v>
      </c>
      <c r="P582" s="112">
        <v>4933</v>
      </c>
      <c r="Q582" s="112"/>
      <c r="R582" s="112">
        <v>25755</v>
      </c>
      <c r="S582" s="113">
        <v>4471.1000000000004</v>
      </c>
      <c r="T582" s="113"/>
      <c r="U582" s="113"/>
      <c r="V582" s="112">
        <v>180401</v>
      </c>
      <c r="W582" s="112">
        <v>107659</v>
      </c>
      <c r="X582" s="112">
        <v>77123</v>
      </c>
      <c r="Y582" s="112">
        <v>92778</v>
      </c>
      <c r="Z582" s="112">
        <v>139194</v>
      </c>
    </row>
    <row r="583" spans="1:26" ht="18" hidden="1" customHeight="1" x14ac:dyDescent="0.2">
      <c r="A583" s="46">
        <f t="shared" si="115"/>
        <v>43434</v>
      </c>
      <c r="B583" s="47" t="s">
        <v>100</v>
      </c>
      <c r="C583" s="48">
        <f t="shared" si="108"/>
        <v>0</v>
      </c>
      <c r="D583" s="99">
        <f t="shared" si="113"/>
        <v>0</v>
      </c>
      <c r="E583" s="45">
        <f t="shared" si="114"/>
        <v>0</v>
      </c>
      <c r="F583" s="45">
        <f t="shared" si="109"/>
        <v>0</v>
      </c>
      <c r="G583" s="79">
        <f t="shared" si="110"/>
        <v>0</v>
      </c>
      <c r="H583" s="77">
        <v>3915</v>
      </c>
      <c r="I583" s="77">
        <v>843</v>
      </c>
      <c r="J583" s="80">
        <f t="shared" si="116"/>
        <v>4758</v>
      </c>
      <c r="K583" s="81">
        <f t="shared" si="111"/>
        <v>4758</v>
      </c>
      <c r="L583" s="43"/>
      <c r="N583" s="112">
        <v>116277</v>
      </c>
      <c r="O583" s="112">
        <v>71313</v>
      </c>
      <c r="P583" s="112">
        <v>4942</v>
      </c>
      <c r="Q583" s="112"/>
      <c r="R583" s="112">
        <v>25780</v>
      </c>
      <c r="S583" s="113">
        <v>4480.5</v>
      </c>
      <c r="T583" s="113"/>
      <c r="U583" s="113"/>
      <c r="V583" s="112">
        <v>180479</v>
      </c>
      <c r="W583" s="112">
        <v>107686</v>
      </c>
      <c r="X583" s="112">
        <v>77191</v>
      </c>
      <c r="Y583" s="112">
        <v>92778</v>
      </c>
      <c r="Z583" s="112">
        <v>139310</v>
      </c>
    </row>
    <row r="584" spans="1:26" ht="18" hidden="1" customHeight="1" x14ac:dyDescent="0.2">
      <c r="A584" s="46">
        <f t="shared" si="115"/>
        <v>43435</v>
      </c>
      <c r="B584" s="47" t="s">
        <v>101</v>
      </c>
      <c r="C584" s="48">
        <f t="shared" si="108"/>
        <v>0</v>
      </c>
      <c r="D584" s="99">
        <f t="shared" si="113"/>
        <v>0</v>
      </c>
      <c r="E584" s="45">
        <f t="shared" si="114"/>
        <v>0</v>
      </c>
      <c r="F584" s="45">
        <f t="shared" si="109"/>
        <v>0</v>
      </c>
      <c r="G584" s="79">
        <f t="shared" si="110"/>
        <v>0</v>
      </c>
      <c r="H584" s="77">
        <v>0</v>
      </c>
      <c r="I584" s="77">
        <v>3009</v>
      </c>
      <c r="J584" s="80">
        <f>H584+I584</f>
        <v>3009</v>
      </c>
      <c r="K584" s="81">
        <f t="shared" si="111"/>
        <v>3009</v>
      </c>
      <c r="L584" s="43"/>
      <c r="N584" s="153">
        <v>116277</v>
      </c>
      <c r="O584" s="153">
        <v>71313</v>
      </c>
      <c r="P584" s="153">
        <v>4942</v>
      </c>
      <c r="Q584" s="153"/>
      <c r="R584" s="153">
        <v>25780</v>
      </c>
      <c r="S584" s="154">
        <v>4480.5</v>
      </c>
      <c r="T584" s="154"/>
      <c r="U584" s="154"/>
      <c r="V584" s="153">
        <v>180479</v>
      </c>
      <c r="W584" s="153">
        <v>107686</v>
      </c>
      <c r="X584" s="153">
        <v>77191</v>
      </c>
      <c r="Y584" s="153">
        <v>92778</v>
      </c>
      <c r="Z584" s="153">
        <v>139310</v>
      </c>
    </row>
    <row r="585" spans="1:26" ht="18" hidden="1" customHeight="1" x14ac:dyDescent="0.2">
      <c r="A585" s="46">
        <f t="shared" si="115"/>
        <v>43436</v>
      </c>
      <c r="B585" s="47" t="s">
        <v>95</v>
      </c>
      <c r="C585" s="48">
        <f t="shared" si="108"/>
        <v>2694</v>
      </c>
      <c r="D585" s="99">
        <f t="shared" si="113"/>
        <v>3768</v>
      </c>
      <c r="E585" s="45">
        <f t="shared" si="114"/>
        <v>3767.0000000000218</v>
      </c>
      <c r="F585" s="45">
        <f t="shared" si="109"/>
        <v>197</v>
      </c>
      <c r="G585" s="79">
        <f t="shared" si="110"/>
        <v>10426.000000000022</v>
      </c>
      <c r="H585" s="77">
        <v>0</v>
      </c>
      <c r="I585" s="77">
        <v>3082</v>
      </c>
      <c r="J585" s="80">
        <f t="shared" ref="J585:J614" si="117">H585+I585</f>
        <v>3082</v>
      </c>
      <c r="K585" s="81">
        <f t="shared" si="111"/>
        <v>-7344.0000000000218</v>
      </c>
      <c r="L585" s="43"/>
      <c r="N585" s="153">
        <v>116277</v>
      </c>
      <c r="O585" s="153">
        <v>71313</v>
      </c>
      <c r="P585" s="153">
        <v>4942</v>
      </c>
      <c r="Q585" s="153"/>
      <c r="R585" s="153">
        <v>25780</v>
      </c>
      <c r="S585" s="154">
        <v>4480.5</v>
      </c>
      <c r="T585" s="154"/>
      <c r="U585" s="154"/>
      <c r="V585" s="153">
        <v>180479</v>
      </c>
      <c r="W585" s="153">
        <v>107686</v>
      </c>
      <c r="X585" s="153">
        <v>77191</v>
      </c>
      <c r="Y585" s="153">
        <v>92778</v>
      </c>
      <c r="Z585" s="153">
        <v>139310</v>
      </c>
    </row>
    <row r="586" spans="1:26" ht="18" hidden="1" customHeight="1" x14ac:dyDescent="0.2">
      <c r="A586" s="46">
        <f t="shared" si="115"/>
        <v>43437</v>
      </c>
      <c r="B586" s="47" t="s">
        <v>96</v>
      </c>
      <c r="C586" s="48">
        <f t="shared" ref="C586:C611" si="118">(V587-V586)*1+(W587-W586)*32+(X587-X586)*12+(Y587-Y586)*6</f>
        <v>2101</v>
      </c>
      <c r="D586" s="99">
        <f t="shared" si="113"/>
        <v>1608</v>
      </c>
      <c r="E586" s="45">
        <f t="shared" si="114"/>
        <v>1407</v>
      </c>
      <c r="F586" s="45">
        <f t="shared" ref="F586:F611" si="119">(Z587-Z586)*1</f>
        <v>83</v>
      </c>
      <c r="G586" s="79">
        <f t="shared" ref="G586:G612" si="120">C586+D586+F586+E586</f>
        <v>5199</v>
      </c>
      <c r="H586" s="77">
        <v>4404</v>
      </c>
      <c r="I586" s="77">
        <v>813</v>
      </c>
      <c r="J586" s="80">
        <f t="shared" si="117"/>
        <v>5217</v>
      </c>
      <c r="K586" s="81">
        <f t="shared" ref="K586:K614" si="121">J586-G586</f>
        <v>18</v>
      </c>
      <c r="L586" s="43"/>
      <c r="N586" s="112">
        <v>116727</v>
      </c>
      <c r="O586" s="112">
        <v>71488</v>
      </c>
      <c r="P586" s="112">
        <v>4963</v>
      </c>
      <c r="Q586" s="112"/>
      <c r="R586" s="112">
        <v>25851</v>
      </c>
      <c r="S586" s="113">
        <v>4511.3</v>
      </c>
      <c r="T586" s="113"/>
      <c r="U586" s="113"/>
      <c r="V586" s="112">
        <v>180685</v>
      </c>
      <c r="W586" s="112">
        <v>107739</v>
      </c>
      <c r="X586" s="112">
        <v>77257</v>
      </c>
      <c r="Y586" s="112">
        <v>92778</v>
      </c>
      <c r="Z586" s="112">
        <v>139507</v>
      </c>
    </row>
    <row r="587" spans="1:26" ht="18" hidden="1" customHeight="1" x14ac:dyDescent="0.2">
      <c r="A587" s="46">
        <f t="shared" si="115"/>
        <v>43438</v>
      </c>
      <c r="B587" s="47" t="s">
        <v>97</v>
      </c>
      <c r="C587" s="48">
        <f t="shared" si="118"/>
        <v>1910</v>
      </c>
      <c r="D587" s="99">
        <f t="shared" si="113"/>
        <v>1624</v>
      </c>
      <c r="E587" s="45">
        <f t="shared" si="114"/>
        <v>1154.9999999999563</v>
      </c>
      <c r="F587" s="45">
        <f t="shared" si="119"/>
        <v>88</v>
      </c>
      <c r="G587" s="79">
        <f t="shared" si="120"/>
        <v>4776.9999999999563</v>
      </c>
      <c r="H587" s="77">
        <v>3999</v>
      </c>
      <c r="I587" s="77">
        <v>908</v>
      </c>
      <c r="J587" s="80">
        <f t="shared" si="117"/>
        <v>4907</v>
      </c>
      <c r="K587" s="81">
        <f t="shared" si="121"/>
        <v>130.00000000004366</v>
      </c>
      <c r="L587" s="43"/>
      <c r="N587" s="112">
        <v>116917</v>
      </c>
      <c r="O587" s="112">
        <v>71562</v>
      </c>
      <c r="P587" s="112">
        <v>4974</v>
      </c>
      <c r="Q587" s="112"/>
      <c r="R587" s="112">
        <v>25878</v>
      </c>
      <c r="S587" s="113">
        <v>4522.8</v>
      </c>
      <c r="T587" s="113"/>
      <c r="U587" s="113"/>
      <c r="V587" s="112">
        <v>180778</v>
      </c>
      <c r="W587" s="112">
        <v>107774</v>
      </c>
      <c r="X587" s="112">
        <v>77331</v>
      </c>
      <c r="Y587" s="112">
        <v>92778</v>
      </c>
      <c r="Z587" s="112">
        <v>139590</v>
      </c>
    </row>
    <row r="588" spans="1:26" ht="18" hidden="1" customHeight="1" x14ac:dyDescent="0.2">
      <c r="A588" s="46">
        <f t="shared" si="115"/>
        <v>43439</v>
      </c>
      <c r="B588" s="47" t="s">
        <v>98</v>
      </c>
      <c r="C588" s="48">
        <f t="shared" si="118"/>
        <v>2075</v>
      </c>
      <c r="D588" s="99">
        <f t="shared" si="113"/>
        <v>1584</v>
      </c>
      <c r="E588" s="45">
        <f t="shared" si="114"/>
        <v>1019.0000000000218</v>
      </c>
      <c r="F588" s="45">
        <f t="shared" si="119"/>
        <v>83</v>
      </c>
      <c r="G588" s="79">
        <f t="shared" si="120"/>
        <v>4761.0000000000218</v>
      </c>
      <c r="H588" s="77">
        <v>3866</v>
      </c>
      <c r="I588" s="77">
        <v>946</v>
      </c>
      <c r="J588" s="80">
        <f t="shared" si="117"/>
        <v>4812</v>
      </c>
      <c r="K588" s="81">
        <f t="shared" si="121"/>
        <v>50.999999999978172</v>
      </c>
      <c r="L588" s="43"/>
      <c r="N588" s="112">
        <v>117107</v>
      </c>
      <c r="O588" s="112">
        <v>71631</v>
      </c>
      <c r="P588" s="112">
        <v>4987</v>
      </c>
      <c r="Q588" s="112"/>
      <c r="R588" s="112">
        <v>25905</v>
      </c>
      <c r="S588" s="113">
        <v>4532.2</v>
      </c>
      <c r="T588" s="113"/>
      <c r="U588" s="113"/>
      <c r="V588" s="112">
        <v>180952</v>
      </c>
      <c r="W588" s="112">
        <v>107808</v>
      </c>
      <c r="X588" s="112">
        <v>77385</v>
      </c>
      <c r="Y588" s="112">
        <v>92778</v>
      </c>
      <c r="Z588" s="112">
        <v>139678</v>
      </c>
    </row>
    <row r="589" spans="1:26" ht="18" hidden="1" customHeight="1" x14ac:dyDescent="0.2">
      <c r="A589" s="46">
        <f t="shared" si="115"/>
        <v>43440</v>
      </c>
      <c r="B589" s="47" t="s">
        <v>99</v>
      </c>
      <c r="C589" s="48">
        <f t="shared" si="118"/>
        <v>1984</v>
      </c>
      <c r="D589" s="99">
        <f t="shared" si="113"/>
        <v>1456</v>
      </c>
      <c r="E589" s="45">
        <f t="shared" si="114"/>
        <v>1008.9999999999782</v>
      </c>
      <c r="F589" s="45">
        <f t="shared" si="119"/>
        <v>100</v>
      </c>
      <c r="G589" s="79">
        <f t="shared" si="120"/>
        <v>4548.9999999999782</v>
      </c>
      <c r="H589" s="77">
        <v>3834</v>
      </c>
      <c r="I589" s="77">
        <v>987</v>
      </c>
      <c r="J589" s="80">
        <f t="shared" si="117"/>
        <v>4821</v>
      </c>
      <c r="K589" s="81">
        <f t="shared" si="121"/>
        <v>272.00000000002183</v>
      </c>
      <c r="L589" s="43"/>
      <c r="N589" s="112">
        <v>117297</v>
      </c>
      <c r="O589" s="112">
        <v>71703</v>
      </c>
      <c r="P589" s="112">
        <v>4995</v>
      </c>
      <c r="Q589" s="112"/>
      <c r="R589" s="112">
        <v>25928</v>
      </c>
      <c r="S589" s="113">
        <v>4540.5</v>
      </c>
      <c r="T589" s="113"/>
      <c r="U589" s="113"/>
      <c r="V589" s="112">
        <v>181131</v>
      </c>
      <c r="W589" s="112">
        <v>107844</v>
      </c>
      <c r="X589" s="112">
        <v>77447</v>
      </c>
      <c r="Y589" s="112">
        <v>92778</v>
      </c>
      <c r="Z589" s="112">
        <v>139761</v>
      </c>
    </row>
    <row r="590" spans="1:26" ht="18" hidden="1" customHeight="1" x14ac:dyDescent="0.2">
      <c r="A590" s="46">
        <f t="shared" si="115"/>
        <v>43441</v>
      </c>
      <c r="B590" s="47" t="s">
        <v>100</v>
      </c>
      <c r="C590" s="48">
        <f t="shared" si="118"/>
        <v>0</v>
      </c>
      <c r="D590" s="99">
        <f t="shared" si="113"/>
        <v>0</v>
      </c>
      <c r="E590" s="45">
        <f t="shared" si="114"/>
        <v>0</v>
      </c>
      <c r="F590" s="45">
        <f t="shared" si="119"/>
        <v>0</v>
      </c>
      <c r="G590" s="79">
        <f t="shared" si="120"/>
        <v>0</v>
      </c>
      <c r="H590" s="77">
        <v>3870</v>
      </c>
      <c r="I590" s="77">
        <v>865</v>
      </c>
      <c r="J590" s="80">
        <f t="shared" si="117"/>
        <v>4735</v>
      </c>
      <c r="K590" s="81">
        <f t="shared" si="121"/>
        <v>4735</v>
      </c>
      <c r="L590" s="43"/>
      <c r="N590" s="112">
        <v>117467</v>
      </c>
      <c r="O590" s="112">
        <v>71768</v>
      </c>
      <c r="P590" s="112">
        <v>5007</v>
      </c>
      <c r="Q590" s="112"/>
      <c r="R590" s="112">
        <v>25953</v>
      </c>
      <c r="S590" s="113">
        <v>4548.7</v>
      </c>
      <c r="T590" s="113"/>
      <c r="U590" s="113"/>
      <c r="V590" s="112">
        <v>181319</v>
      </c>
      <c r="W590" s="112">
        <v>107875</v>
      </c>
      <c r="X590" s="112">
        <v>77514</v>
      </c>
      <c r="Y590" s="112">
        <v>92778</v>
      </c>
      <c r="Z590" s="112">
        <v>139861</v>
      </c>
    </row>
    <row r="591" spans="1:26" ht="18" hidden="1" customHeight="1" x14ac:dyDescent="0.2">
      <c r="A591" s="46">
        <f t="shared" si="115"/>
        <v>43442</v>
      </c>
      <c r="B591" s="56" t="s">
        <v>103</v>
      </c>
      <c r="C591" s="48">
        <f t="shared" si="118"/>
        <v>0</v>
      </c>
      <c r="D591" s="99">
        <f t="shared" si="113"/>
        <v>0</v>
      </c>
      <c r="E591" s="45">
        <f t="shared" si="114"/>
        <v>0</v>
      </c>
      <c r="F591" s="45">
        <f t="shared" si="119"/>
        <v>0</v>
      </c>
      <c r="G591" s="79">
        <f t="shared" si="120"/>
        <v>0</v>
      </c>
      <c r="H591" s="77">
        <v>0</v>
      </c>
      <c r="I591" s="77">
        <v>3160</v>
      </c>
      <c r="J591" s="80">
        <f t="shared" si="117"/>
        <v>3160</v>
      </c>
      <c r="K591" s="81">
        <f t="shared" si="121"/>
        <v>3160</v>
      </c>
      <c r="L591" s="43"/>
      <c r="N591" s="153">
        <v>117467</v>
      </c>
      <c r="O591" s="153">
        <v>71768</v>
      </c>
      <c r="P591" s="153">
        <v>5007</v>
      </c>
      <c r="Q591" s="153"/>
      <c r="R591" s="153">
        <v>25953</v>
      </c>
      <c r="S591" s="154">
        <v>4548.7</v>
      </c>
      <c r="T591" s="154"/>
      <c r="U591" s="154"/>
      <c r="V591" s="153">
        <v>181319</v>
      </c>
      <c r="W591" s="153">
        <v>107875</v>
      </c>
      <c r="X591" s="153">
        <v>77514</v>
      </c>
      <c r="Y591" s="153">
        <v>92778</v>
      </c>
      <c r="Z591" s="153">
        <v>139861</v>
      </c>
    </row>
    <row r="592" spans="1:26" ht="18" hidden="1" customHeight="1" x14ac:dyDescent="0.2">
      <c r="A592" s="46">
        <f t="shared" si="115"/>
        <v>43443</v>
      </c>
      <c r="B592" s="56" t="s">
        <v>104</v>
      </c>
      <c r="C592" s="48">
        <f t="shared" si="118"/>
        <v>2894</v>
      </c>
      <c r="D592" s="99">
        <f t="shared" si="113"/>
        <v>3992</v>
      </c>
      <c r="E592" s="45">
        <f t="shared" si="114"/>
        <v>3686.0000000000437</v>
      </c>
      <c r="F592" s="45">
        <f t="shared" si="119"/>
        <v>301</v>
      </c>
      <c r="G592" s="79">
        <f t="shared" si="120"/>
        <v>10873.000000000044</v>
      </c>
      <c r="H592" s="77">
        <v>0</v>
      </c>
      <c r="I592" s="77">
        <v>3251</v>
      </c>
      <c r="J592" s="80">
        <f t="shared" si="117"/>
        <v>3251</v>
      </c>
      <c r="K592" s="81">
        <f t="shared" si="121"/>
        <v>-7622.0000000000437</v>
      </c>
      <c r="L592" s="43"/>
      <c r="N592" s="153">
        <v>117467</v>
      </c>
      <c r="O592" s="153">
        <v>71768</v>
      </c>
      <c r="P592" s="153">
        <v>5007</v>
      </c>
      <c r="Q592" s="153"/>
      <c r="R592" s="153">
        <v>25953</v>
      </c>
      <c r="S592" s="154">
        <v>4548.7</v>
      </c>
      <c r="T592" s="154"/>
      <c r="U592" s="154"/>
      <c r="V592" s="153">
        <v>181319</v>
      </c>
      <c r="W592" s="153">
        <v>107875</v>
      </c>
      <c r="X592" s="153">
        <v>77514</v>
      </c>
      <c r="Y592" s="153">
        <v>92778</v>
      </c>
      <c r="Z592" s="153">
        <v>139861</v>
      </c>
    </row>
    <row r="593" spans="1:26" ht="18" hidden="1" customHeight="1" x14ac:dyDescent="0.2">
      <c r="A593" s="46">
        <f t="shared" si="115"/>
        <v>43444</v>
      </c>
      <c r="B593" s="47" t="s">
        <v>96</v>
      </c>
      <c r="C593" s="48">
        <f t="shared" si="118"/>
        <v>1892</v>
      </c>
      <c r="D593" s="99">
        <f t="shared" si="113"/>
        <v>1672</v>
      </c>
      <c r="E593" s="45">
        <f t="shared" si="114"/>
        <v>1368.9999999999782</v>
      </c>
      <c r="F593" s="45">
        <f t="shared" si="119"/>
        <v>122</v>
      </c>
      <c r="G593" s="79">
        <f t="shared" si="120"/>
        <v>5054.9999999999782</v>
      </c>
      <c r="H593" s="77">
        <v>4205</v>
      </c>
      <c r="I593" s="77">
        <v>4205</v>
      </c>
      <c r="J593" s="80">
        <f t="shared" si="117"/>
        <v>8410</v>
      </c>
      <c r="K593" s="81">
        <f t="shared" si="121"/>
        <v>3355.0000000000218</v>
      </c>
      <c r="L593" s="43"/>
      <c r="N593" s="112">
        <v>117947</v>
      </c>
      <c r="O593" s="112">
        <v>71946</v>
      </c>
      <c r="P593" s="112">
        <v>5026</v>
      </c>
      <c r="Q593" s="112"/>
      <c r="R593" s="112">
        <v>26027</v>
      </c>
      <c r="S593" s="113">
        <v>4578.8</v>
      </c>
      <c r="T593" s="113"/>
      <c r="U593" s="113"/>
      <c r="V593" s="112">
        <v>181797</v>
      </c>
      <c r="W593" s="112">
        <v>107925</v>
      </c>
      <c r="X593" s="112">
        <v>77582</v>
      </c>
      <c r="Y593" s="112">
        <v>92778</v>
      </c>
      <c r="Z593" s="112">
        <v>140162</v>
      </c>
    </row>
    <row r="594" spans="1:26" ht="18" hidden="1" customHeight="1" x14ac:dyDescent="0.2">
      <c r="A594" s="46">
        <f t="shared" si="115"/>
        <v>43445</v>
      </c>
      <c r="B594" s="47" t="s">
        <v>97</v>
      </c>
      <c r="C594" s="48">
        <f t="shared" si="118"/>
        <v>2090</v>
      </c>
      <c r="D594" s="99">
        <f t="shared" si="113"/>
        <v>1552</v>
      </c>
      <c r="E594" s="45">
        <f t="shared" si="114"/>
        <v>1285</v>
      </c>
      <c r="F594" s="45">
        <f t="shared" si="119"/>
        <v>110</v>
      </c>
      <c r="G594" s="79">
        <f t="shared" si="120"/>
        <v>5037</v>
      </c>
      <c r="H594" s="77">
        <v>4308</v>
      </c>
      <c r="I594" s="77">
        <v>941</v>
      </c>
      <c r="J594" s="80">
        <f t="shared" si="117"/>
        <v>5249</v>
      </c>
      <c r="K594" s="81">
        <f t="shared" si="121"/>
        <v>212</v>
      </c>
      <c r="L594" s="43"/>
      <c r="N594" s="112">
        <v>118147</v>
      </c>
      <c r="O594" s="112">
        <v>72020</v>
      </c>
      <c r="P594" s="112">
        <v>5035</v>
      </c>
      <c r="Q594" s="112"/>
      <c r="R594" s="112">
        <v>26052</v>
      </c>
      <c r="S594" s="113">
        <v>4590</v>
      </c>
      <c r="T594" s="113"/>
      <c r="U594" s="113"/>
      <c r="V594" s="112">
        <v>181961</v>
      </c>
      <c r="W594" s="112">
        <v>107955</v>
      </c>
      <c r="X594" s="112">
        <v>77646</v>
      </c>
      <c r="Y594" s="112">
        <v>92778</v>
      </c>
      <c r="Z594" s="112">
        <v>140284</v>
      </c>
    </row>
    <row r="595" spans="1:26" ht="18" hidden="1" customHeight="1" x14ac:dyDescent="0.2">
      <c r="A595" s="46">
        <f t="shared" si="115"/>
        <v>43446</v>
      </c>
      <c r="B595" s="47" t="s">
        <v>98</v>
      </c>
      <c r="C595" s="48">
        <f t="shared" si="118"/>
        <v>2048</v>
      </c>
      <c r="D595" s="99">
        <f t="shared" si="113"/>
        <v>1664</v>
      </c>
      <c r="E595" s="45">
        <f t="shared" si="114"/>
        <v>1201.0000000000218</v>
      </c>
      <c r="F595" s="45">
        <f t="shared" si="119"/>
        <v>128</v>
      </c>
      <c r="G595" s="79">
        <f t="shared" si="120"/>
        <v>5041.0000000000218</v>
      </c>
      <c r="H595" s="77">
        <v>4162</v>
      </c>
      <c r="I595" s="77">
        <v>921</v>
      </c>
      <c r="J595" s="80">
        <f t="shared" si="117"/>
        <v>5083</v>
      </c>
      <c r="K595" s="81">
        <f t="shared" si="121"/>
        <v>41.999999999978172</v>
      </c>
      <c r="L595" s="43"/>
      <c r="N595" s="112">
        <v>118327</v>
      </c>
      <c r="O595" s="112">
        <v>72091</v>
      </c>
      <c r="P595" s="112">
        <v>5049</v>
      </c>
      <c r="Q595" s="112"/>
      <c r="R595" s="112">
        <v>26077</v>
      </c>
      <c r="S595" s="113">
        <v>4600.5</v>
      </c>
      <c r="T595" s="113"/>
      <c r="U595" s="113"/>
      <c r="V595" s="112">
        <v>182143</v>
      </c>
      <c r="W595" s="112">
        <v>107985</v>
      </c>
      <c r="X595" s="112">
        <v>77725</v>
      </c>
      <c r="Y595" s="112">
        <v>92778</v>
      </c>
      <c r="Z595" s="112">
        <v>140394</v>
      </c>
    </row>
    <row r="596" spans="1:26" ht="18" hidden="1" customHeight="1" x14ac:dyDescent="0.2">
      <c r="A596" s="46">
        <f t="shared" si="115"/>
        <v>43447</v>
      </c>
      <c r="B596" s="47" t="s">
        <v>99</v>
      </c>
      <c r="C596" s="48">
        <f t="shared" si="118"/>
        <v>1885</v>
      </c>
      <c r="D596" s="99">
        <f t="shared" si="113"/>
        <v>1664</v>
      </c>
      <c r="E596" s="45">
        <f t="shared" si="114"/>
        <v>1141.0000000000218</v>
      </c>
      <c r="F596" s="45">
        <f t="shared" si="119"/>
        <v>126</v>
      </c>
      <c r="G596" s="79">
        <f t="shared" si="120"/>
        <v>4816.0000000000218</v>
      </c>
      <c r="H596" s="77">
        <v>3944</v>
      </c>
      <c r="I596" s="77">
        <v>980</v>
      </c>
      <c r="J596" s="80">
        <f t="shared" si="117"/>
        <v>4924</v>
      </c>
      <c r="K596" s="81">
        <f t="shared" si="121"/>
        <v>107.99999999997817</v>
      </c>
      <c r="L596" s="43"/>
      <c r="N596" s="112">
        <v>118527</v>
      </c>
      <c r="O596" s="112">
        <v>72167</v>
      </c>
      <c r="P596" s="112">
        <v>5057</v>
      </c>
      <c r="Q596" s="112"/>
      <c r="R596" s="112">
        <v>26102</v>
      </c>
      <c r="S596" s="113">
        <v>4610.3</v>
      </c>
      <c r="T596" s="113"/>
      <c r="U596" s="113"/>
      <c r="V596" s="112">
        <v>182319</v>
      </c>
      <c r="W596" s="112">
        <v>108015</v>
      </c>
      <c r="X596" s="112">
        <v>77801</v>
      </c>
      <c r="Y596" s="112">
        <v>92778</v>
      </c>
      <c r="Z596" s="112">
        <v>140522</v>
      </c>
    </row>
    <row r="597" spans="1:26" ht="18" hidden="1" customHeight="1" x14ac:dyDescent="0.2">
      <c r="A597" s="46">
        <f t="shared" si="115"/>
        <v>43448</v>
      </c>
      <c r="B597" s="47" t="s">
        <v>100</v>
      </c>
      <c r="C597" s="48">
        <f t="shared" si="118"/>
        <v>0</v>
      </c>
      <c r="D597" s="99">
        <f t="shared" ref="D597:D660" si="122">(N598-N597)*8+(P598-P597)*8</f>
        <v>0</v>
      </c>
      <c r="E597" s="45">
        <f t="shared" ref="E597:E660" si="123">(R598-R597)*1+(S598-S597)*120</f>
        <v>0</v>
      </c>
      <c r="F597" s="45">
        <f t="shared" si="119"/>
        <v>0</v>
      </c>
      <c r="G597" s="79">
        <f t="shared" si="120"/>
        <v>0</v>
      </c>
      <c r="H597" s="77">
        <v>4078</v>
      </c>
      <c r="I597" s="77">
        <v>949</v>
      </c>
      <c r="J597" s="80">
        <f t="shared" si="117"/>
        <v>5027</v>
      </c>
      <c r="K597" s="81">
        <f t="shared" si="121"/>
        <v>5027</v>
      </c>
      <c r="L597" s="43"/>
      <c r="N597" s="112">
        <v>118727</v>
      </c>
      <c r="O597" s="112">
        <v>72241</v>
      </c>
      <c r="P597" s="112">
        <v>5065</v>
      </c>
      <c r="Q597" s="112"/>
      <c r="R597" s="112">
        <v>26127</v>
      </c>
      <c r="S597" s="113">
        <v>4619.6000000000004</v>
      </c>
      <c r="T597" s="113"/>
      <c r="U597" s="113"/>
      <c r="V597" s="112">
        <v>182484</v>
      </c>
      <c r="W597" s="112">
        <v>108044</v>
      </c>
      <c r="X597" s="112">
        <v>77867</v>
      </c>
      <c r="Y597" s="112">
        <v>92778</v>
      </c>
      <c r="Z597" s="112">
        <v>140648</v>
      </c>
    </row>
    <row r="598" spans="1:26" ht="18" hidden="1" customHeight="1" x14ac:dyDescent="0.2">
      <c r="A598" s="46">
        <f t="shared" si="115"/>
        <v>43449</v>
      </c>
      <c r="B598" s="47" t="s">
        <v>101</v>
      </c>
      <c r="C598" s="48">
        <f t="shared" si="118"/>
        <v>0</v>
      </c>
      <c r="D598" s="99">
        <f t="shared" si="122"/>
        <v>0</v>
      </c>
      <c r="E598" s="45">
        <f t="shared" si="123"/>
        <v>0</v>
      </c>
      <c r="F598" s="45">
        <f t="shared" si="119"/>
        <v>0</v>
      </c>
      <c r="G598" s="79">
        <f t="shared" si="120"/>
        <v>0</v>
      </c>
      <c r="H598" s="77">
        <v>0</v>
      </c>
      <c r="I598" s="77">
        <v>3143</v>
      </c>
      <c r="J598" s="80">
        <f t="shared" si="117"/>
        <v>3143</v>
      </c>
      <c r="K598" s="81">
        <f t="shared" si="121"/>
        <v>3143</v>
      </c>
      <c r="L598" s="43"/>
      <c r="N598" s="153">
        <v>118727</v>
      </c>
      <c r="O598" s="153">
        <v>72241</v>
      </c>
      <c r="P598" s="153">
        <v>5065</v>
      </c>
      <c r="Q598" s="153"/>
      <c r="R598" s="153">
        <v>26127</v>
      </c>
      <c r="S598" s="154">
        <v>4619.6000000000004</v>
      </c>
      <c r="T598" s="154"/>
      <c r="U598" s="154"/>
      <c r="V598" s="153">
        <v>182484</v>
      </c>
      <c r="W598" s="153">
        <v>108044</v>
      </c>
      <c r="X598" s="153">
        <v>77867</v>
      </c>
      <c r="Y598" s="153">
        <v>92778</v>
      </c>
      <c r="Z598" s="153">
        <v>140648</v>
      </c>
    </row>
    <row r="599" spans="1:26" ht="18" hidden="1" customHeight="1" x14ac:dyDescent="0.2">
      <c r="A599" s="46">
        <f t="shared" si="115"/>
        <v>43450</v>
      </c>
      <c r="B599" s="47" t="s">
        <v>95</v>
      </c>
      <c r="C599" s="48">
        <f t="shared" si="118"/>
        <v>3122</v>
      </c>
      <c r="D599" s="99">
        <f t="shared" si="122"/>
        <v>3880</v>
      </c>
      <c r="E599" s="45">
        <f t="shared" si="123"/>
        <v>3638.9999999999782</v>
      </c>
      <c r="F599" s="45">
        <f t="shared" si="119"/>
        <v>399</v>
      </c>
      <c r="G599" s="79">
        <f t="shared" si="120"/>
        <v>11039.999999999978</v>
      </c>
      <c r="H599" s="77">
        <v>0</v>
      </c>
      <c r="I599" s="77">
        <v>3258</v>
      </c>
      <c r="J599" s="80">
        <f t="shared" si="117"/>
        <v>3258</v>
      </c>
      <c r="K599" s="81">
        <f t="shared" si="121"/>
        <v>-7781.9999999999782</v>
      </c>
      <c r="L599" s="43"/>
      <c r="N599" s="153">
        <v>118727</v>
      </c>
      <c r="O599" s="153">
        <v>72241</v>
      </c>
      <c r="P599" s="153">
        <v>5065</v>
      </c>
      <c r="Q599" s="153"/>
      <c r="R599" s="153">
        <v>26127</v>
      </c>
      <c r="S599" s="154">
        <v>4619.6000000000004</v>
      </c>
      <c r="T599" s="154"/>
      <c r="U599" s="154"/>
      <c r="V599" s="153">
        <v>182484</v>
      </c>
      <c r="W599" s="153">
        <v>108044</v>
      </c>
      <c r="X599" s="153">
        <v>77867</v>
      </c>
      <c r="Y599" s="153">
        <v>92778</v>
      </c>
      <c r="Z599" s="153">
        <v>140648</v>
      </c>
    </row>
    <row r="600" spans="1:26" ht="18" hidden="1" customHeight="1" x14ac:dyDescent="0.2">
      <c r="A600" s="46">
        <f t="shared" si="115"/>
        <v>43451</v>
      </c>
      <c r="B600" s="47" t="s">
        <v>96</v>
      </c>
      <c r="C600" s="48">
        <f t="shared" si="118"/>
        <v>2102</v>
      </c>
      <c r="D600" s="99">
        <f t="shared" si="122"/>
        <v>1616</v>
      </c>
      <c r="E600" s="45">
        <f t="shared" si="123"/>
        <v>308.99999999997817</v>
      </c>
      <c r="F600" s="45">
        <f t="shared" si="119"/>
        <v>97</v>
      </c>
      <c r="G600" s="79">
        <f t="shared" si="120"/>
        <v>4123.9999999999782</v>
      </c>
      <c r="H600" s="77">
        <v>4324</v>
      </c>
      <c r="I600" s="77">
        <v>985</v>
      </c>
      <c r="J600" s="80">
        <f t="shared" si="117"/>
        <v>5309</v>
      </c>
      <c r="K600" s="81">
        <f t="shared" si="121"/>
        <v>1185.0000000000218</v>
      </c>
      <c r="L600" s="43"/>
      <c r="N600" s="112">
        <v>119187</v>
      </c>
      <c r="O600" s="112">
        <v>72415</v>
      </c>
      <c r="P600" s="112">
        <v>5090</v>
      </c>
      <c r="Q600" s="112"/>
      <c r="R600" s="112">
        <v>26202</v>
      </c>
      <c r="S600" s="113">
        <v>4649.3</v>
      </c>
      <c r="T600" s="113"/>
      <c r="U600" s="113"/>
      <c r="V600" s="112">
        <v>182954</v>
      </c>
      <c r="W600" s="112">
        <v>108095</v>
      </c>
      <c r="X600" s="112">
        <v>77952</v>
      </c>
      <c r="Y600" s="112">
        <v>92778</v>
      </c>
      <c r="Z600" s="112">
        <v>141047</v>
      </c>
    </row>
    <row r="601" spans="1:26" ht="18" hidden="1" customHeight="1" x14ac:dyDescent="0.2">
      <c r="A601" s="46">
        <f t="shared" si="115"/>
        <v>43452</v>
      </c>
      <c r="B601" s="47" t="s">
        <v>97</v>
      </c>
      <c r="C601" s="48">
        <f t="shared" si="118"/>
        <v>2155</v>
      </c>
      <c r="D601" s="99">
        <f t="shared" si="122"/>
        <v>1688</v>
      </c>
      <c r="E601" s="45">
        <f t="shared" si="123"/>
        <v>2188.9999999999782</v>
      </c>
      <c r="F601" s="45">
        <f t="shared" si="119"/>
        <v>120</v>
      </c>
      <c r="G601" s="79">
        <f t="shared" si="120"/>
        <v>6151.9999999999782</v>
      </c>
      <c r="H601" s="77">
        <v>4284</v>
      </c>
      <c r="I601" s="77">
        <v>952</v>
      </c>
      <c r="J601" s="80">
        <f t="shared" si="117"/>
        <v>5236</v>
      </c>
      <c r="K601" s="81">
        <f t="shared" si="121"/>
        <v>-915.99999999997817</v>
      </c>
      <c r="L601" s="43"/>
      <c r="N601" s="112">
        <v>119377</v>
      </c>
      <c r="O601" s="112">
        <v>72489</v>
      </c>
      <c r="P601" s="112">
        <v>5102</v>
      </c>
      <c r="Q601" s="112"/>
      <c r="R601" s="112">
        <v>25227</v>
      </c>
      <c r="S601" s="113">
        <v>4660</v>
      </c>
      <c r="T601" s="113"/>
      <c r="U601" s="113"/>
      <c r="V601" s="112">
        <v>183132</v>
      </c>
      <c r="W601" s="112">
        <v>108124</v>
      </c>
      <c r="X601" s="112">
        <v>78035</v>
      </c>
      <c r="Y601" s="112">
        <v>92778</v>
      </c>
      <c r="Z601" s="112">
        <v>141144</v>
      </c>
    </row>
    <row r="602" spans="1:26" ht="18" hidden="1" customHeight="1" x14ac:dyDescent="0.2">
      <c r="A602" s="46">
        <f t="shared" si="115"/>
        <v>43453</v>
      </c>
      <c r="B602" s="47" t="s">
        <v>98</v>
      </c>
      <c r="C602" s="48">
        <f t="shared" si="118"/>
        <v>2128</v>
      </c>
      <c r="D602" s="99">
        <f t="shared" si="122"/>
        <v>1664</v>
      </c>
      <c r="E602" s="45">
        <f t="shared" si="123"/>
        <v>1020.0000000000218</v>
      </c>
      <c r="F602" s="45">
        <f t="shared" si="119"/>
        <v>116</v>
      </c>
      <c r="G602" s="79">
        <f t="shared" si="120"/>
        <v>4928.0000000000218</v>
      </c>
      <c r="H602" s="77">
        <v>4185</v>
      </c>
      <c r="I602" s="77">
        <v>1007</v>
      </c>
      <c r="J602" s="80">
        <f t="shared" si="117"/>
        <v>5192</v>
      </c>
      <c r="K602" s="81">
        <f t="shared" si="121"/>
        <v>263.99999999997817</v>
      </c>
      <c r="L602" s="43"/>
      <c r="N602" s="112">
        <v>119577</v>
      </c>
      <c r="O602" s="112">
        <v>72563</v>
      </c>
      <c r="P602" s="112">
        <v>5113</v>
      </c>
      <c r="Q602" s="112"/>
      <c r="R602" s="112">
        <v>26252</v>
      </c>
      <c r="S602" s="113">
        <v>4669.7</v>
      </c>
      <c r="T602" s="113"/>
      <c r="U602" s="113"/>
      <c r="V602" s="112">
        <v>183311</v>
      </c>
      <c r="W602" s="112">
        <v>108155</v>
      </c>
      <c r="X602" s="112">
        <v>78117</v>
      </c>
      <c r="Y602" s="112">
        <v>92778</v>
      </c>
      <c r="Z602" s="112">
        <v>141264</v>
      </c>
    </row>
    <row r="603" spans="1:26" ht="18" hidden="1" customHeight="1" x14ac:dyDescent="0.2">
      <c r="A603" s="46">
        <f t="shared" si="115"/>
        <v>43454</v>
      </c>
      <c r="B603" s="47" t="s">
        <v>99</v>
      </c>
      <c r="C603" s="48">
        <f t="shared" si="118"/>
        <v>2435</v>
      </c>
      <c r="D603" s="99">
        <f t="shared" si="122"/>
        <v>1704</v>
      </c>
      <c r="E603" s="45">
        <f t="shared" si="123"/>
        <v>947.99999999997817</v>
      </c>
      <c r="F603" s="45">
        <f t="shared" si="119"/>
        <v>102</v>
      </c>
      <c r="G603" s="79">
        <f t="shared" si="120"/>
        <v>5188.9999999999782</v>
      </c>
      <c r="H603" s="77">
        <v>4009</v>
      </c>
      <c r="I603" s="77">
        <v>1005</v>
      </c>
      <c r="J603" s="80">
        <f t="shared" si="117"/>
        <v>5014</v>
      </c>
      <c r="K603" s="81">
        <f t="shared" si="121"/>
        <v>-174.99999999997817</v>
      </c>
      <c r="L603" s="43"/>
      <c r="N603" s="112">
        <v>119777</v>
      </c>
      <c r="O603" s="112">
        <v>72638</v>
      </c>
      <c r="P603" s="112">
        <v>5121</v>
      </c>
      <c r="Q603" s="112"/>
      <c r="R603" s="112">
        <v>26276</v>
      </c>
      <c r="S603" s="113">
        <v>4678</v>
      </c>
      <c r="T603" s="113"/>
      <c r="U603" s="113"/>
      <c r="V603" s="112">
        <v>183495</v>
      </c>
      <c r="W603" s="112">
        <v>108188</v>
      </c>
      <c r="X603" s="112">
        <v>78191</v>
      </c>
      <c r="Y603" s="112">
        <v>92778</v>
      </c>
      <c r="Z603" s="112">
        <v>141380</v>
      </c>
    </row>
    <row r="604" spans="1:26" ht="18" hidden="1" customHeight="1" x14ac:dyDescent="0.2">
      <c r="A604" s="46">
        <f t="shared" si="115"/>
        <v>43455</v>
      </c>
      <c r="B604" s="47" t="s">
        <v>100</v>
      </c>
      <c r="C604" s="48">
        <f t="shared" si="118"/>
        <v>2052</v>
      </c>
      <c r="D604" s="99">
        <f t="shared" si="122"/>
        <v>1512</v>
      </c>
      <c r="E604" s="45">
        <f t="shared" si="123"/>
        <v>936.00000000004366</v>
      </c>
      <c r="F604" s="45">
        <f t="shared" si="119"/>
        <v>99</v>
      </c>
      <c r="G604" s="79">
        <f t="shared" si="120"/>
        <v>4599.0000000000437</v>
      </c>
      <c r="H604" s="77">
        <v>3993</v>
      </c>
      <c r="I604" s="77">
        <v>1058</v>
      </c>
      <c r="J604" s="80">
        <f t="shared" si="117"/>
        <v>5051</v>
      </c>
      <c r="K604" s="81">
        <f t="shared" si="121"/>
        <v>451.99999999995634</v>
      </c>
      <c r="L604" s="43"/>
      <c r="N604" s="112">
        <v>119977</v>
      </c>
      <c r="O604" s="112">
        <v>72712</v>
      </c>
      <c r="P604" s="112">
        <v>5134</v>
      </c>
      <c r="Q604" s="112"/>
      <c r="R604" s="112">
        <v>26300</v>
      </c>
      <c r="S604" s="113">
        <v>4685.7</v>
      </c>
      <c r="T604" s="113"/>
      <c r="U604" s="113"/>
      <c r="V604" s="112">
        <v>183690</v>
      </c>
      <c r="W604" s="112">
        <v>108228</v>
      </c>
      <c r="X604" s="112">
        <v>78271</v>
      </c>
      <c r="Y604" s="112">
        <v>92778</v>
      </c>
      <c r="Z604" s="112">
        <v>141482</v>
      </c>
    </row>
    <row r="605" spans="1:26" ht="18" hidden="1" customHeight="1" x14ac:dyDescent="0.2">
      <c r="A605" s="46">
        <f t="shared" si="115"/>
        <v>43456</v>
      </c>
      <c r="B605" s="47" t="s">
        <v>101</v>
      </c>
      <c r="C605" s="48">
        <f t="shared" si="118"/>
        <v>0</v>
      </c>
      <c r="D605" s="99">
        <f t="shared" si="122"/>
        <v>0</v>
      </c>
      <c r="E605" s="45">
        <f t="shared" si="123"/>
        <v>0</v>
      </c>
      <c r="F605" s="45">
        <f t="shared" si="119"/>
        <v>0</v>
      </c>
      <c r="G605" s="79">
        <f t="shared" si="120"/>
        <v>0</v>
      </c>
      <c r="H605" s="77">
        <v>0</v>
      </c>
      <c r="I605" s="77">
        <v>4739</v>
      </c>
      <c r="J605" s="80">
        <f t="shared" si="117"/>
        <v>4739</v>
      </c>
      <c r="K605" s="81">
        <f t="shared" si="121"/>
        <v>4739</v>
      </c>
      <c r="L605" s="43"/>
      <c r="N605" s="112">
        <v>120157</v>
      </c>
      <c r="O605" s="112">
        <v>72779</v>
      </c>
      <c r="P605" s="112">
        <v>5143</v>
      </c>
      <c r="Q605" s="112"/>
      <c r="R605" s="112">
        <v>26324</v>
      </c>
      <c r="S605" s="113">
        <v>4693.3</v>
      </c>
      <c r="T605" s="113"/>
      <c r="U605" s="113"/>
      <c r="V605" s="112">
        <v>183886</v>
      </c>
      <c r="W605" s="112">
        <v>108259</v>
      </c>
      <c r="X605" s="112">
        <v>78343</v>
      </c>
      <c r="Y605" s="112">
        <v>92778</v>
      </c>
      <c r="Z605" s="112">
        <v>141581</v>
      </c>
    </row>
    <row r="606" spans="1:26" ht="18" hidden="1" customHeight="1" x14ac:dyDescent="0.2">
      <c r="A606" s="46">
        <f t="shared" ref="A606:A612" si="124">A605+1</f>
        <v>43457</v>
      </c>
      <c r="B606" s="47" t="s">
        <v>95</v>
      </c>
      <c r="C606" s="48">
        <f t="shared" si="118"/>
        <v>2343</v>
      </c>
      <c r="D606" s="99">
        <f t="shared" si="122"/>
        <v>3640</v>
      </c>
      <c r="E606" s="45">
        <f t="shared" si="123"/>
        <v>2401.9999999999345</v>
      </c>
      <c r="F606" s="45">
        <f t="shared" si="119"/>
        <v>183</v>
      </c>
      <c r="G606" s="79">
        <f t="shared" si="120"/>
        <v>8567.9999999999345</v>
      </c>
      <c r="H606" s="77">
        <v>0</v>
      </c>
      <c r="I606" s="77">
        <v>3203</v>
      </c>
      <c r="J606" s="80">
        <f t="shared" si="117"/>
        <v>3203</v>
      </c>
      <c r="K606" s="81">
        <f t="shared" si="121"/>
        <v>-5364.9999999999345</v>
      </c>
      <c r="L606" s="43"/>
      <c r="N606" s="153">
        <v>120157</v>
      </c>
      <c r="O606" s="153">
        <v>72779</v>
      </c>
      <c r="P606" s="153">
        <v>5143</v>
      </c>
      <c r="Q606" s="153"/>
      <c r="R606" s="153">
        <v>26324</v>
      </c>
      <c r="S606" s="154">
        <v>4693.3</v>
      </c>
      <c r="T606" s="154"/>
      <c r="U606" s="154"/>
      <c r="V606" s="153">
        <v>183886</v>
      </c>
      <c r="W606" s="153">
        <v>108259</v>
      </c>
      <c r="X606" s="153">
        <v>78343</v>
      </c>
      <c r="Y606" s="153">
        <v>92778</v>
      </c>
      <c r="Z606" s="153">
        <v>141581</v>
      </c>
    </row>
    <row r="607" spans="1:26" ht="18" hidden="1" customHeight="1" x14ac:dyDescent="0.2">
      <c r="A607" s="46">
        <f t="shared" si="124"/>
        <v>43458</v>
      </c>
      <c r="B607" s="47" t="s">
        <v>96</v>
      </c>
      <c r="C607" s="48">
        <f t="shared" si="118"/>
        <v>2024</v>
      </c>
      <c r="D607" s="99">
        <f t="shared" si="122"/>
        <v>1680</v>
      </c>
      <c r="E607" s="45">
        <f t="shared" si="123"/>
        <v>1284</v>
      </c>
      <c r="F607" s="45">
        <f t="shared" si="119"/>
        <v>127</v>
      </c>
      <c r="G607" s="79">
        <f t="shared" si="120"/>
        <v>5115</v>
      </c>
      <c r="H607" s="77">
        <v>4283</v>
      </c>
      <c r="I607" s="77">
        <v>1017</v>
      </c>
      <c r="J607" s="80">
        <f t="shared" si="117"/>
        <v>5300</v>
      </c>
      <c r="K607" s="81">
        <f t="shared" si="121"/>
        <v>185</v>
      </c>
      <c r="L607" s="43"/>
      <c r="N607" s="112">
        <v>120597</v>
      </c>
      <c r="O607" s="112">
        <v>72907</v>
      </c>
      <c r="P607" s="112">
        <v>5158</v>
      </c>
      <c r="Q607" s="112"/>
      <c r="R607" s="112">
        <v>26374</v>
      </c>
      <c r="S607" s="113">
        <v>4712.8999999999996</v>
      </c>
      <c r="T607" s="113"/>
      <c r="U607" s="113"/>
      <c r="V607" s="112">
        <v>184213</v>
      </c>
      <c r="W607" s="112">
        <v>108298</v>
      </c>
      <c r="X607" s="112">
        <v>78407</v>
      </c>
      <c r="Y607" s="112">
        <v>92778</v>
      </c>
      <c r="Z607" s="112">
        <v>141764</v>
      </c>
    </row>
    <row r="608" spans="1:26" ht="18" hidden="1" customHeight="1" x14ac:dyDescent="0.2">
      <c r="A608" s="46">
        <f t="shared" si="124"/>
        <v>43459</v>
      </c>
      <c r="B608" s="47" t="s">
        <v>97</v>
      </c>
      <c r="C608" s="48">
        <f t="shared" si="118"/>
        <v>2074</v>
      </c>
      <c r="D608" s="99">
        <f t="shared" si="122"/>
        <v>1600</v>
      </c>
      <c r="E608" s="45">
        <f t="shared" si="123"/>
        <v>1128.0000000000873</v>
      </c>
      <c r="F608" s="45">
        <f t="shared" si="119"/>
        <v>119</v>
      </c>
      <c r="G608" s="79">
        <f t="shared" si="120"/>
        <v>4921.0000000000873</v>
      </c>
      <c r="H608" s="77">
        <v>4077</v>
      </c>
      <c r="I608" s="77">
        <v>976</v>
      </c>
      <c r="J608" s="80">
        <f t="shared" si="117"/>
        <v>5053</v>
      </c>
      <c r="K608" s="81">
        <f t="shared" si="121"/>
        <v>131.99999999991269</v>
      </c>
      <c r="L608" s="43"/>
      <c r="N608" s="112">
        <v>120797</v>
      </c>
      <c r="O608" s="112">
        <v>72983</v>
      </c>
      <c r="P608" s="112">
        <v>5168</v>
      </c>
      <c r="Q608" s="112"/>
      <c r="R608" s="112">
        <v>26398</v>
      </c>
      <c r="S608" s="113">
        <v>4723.3999999999996</v>
      </c>
      <c r="T608" s="113"/>
      <c r="U608" s="113"/>
      <c r="V608" s="112">
        <v>184385</v>
      </c>
      <c r="W608" s="112">
        <v>108327</v>
      </c>
      <c r="X608" s="112">
        <v>78484</v>
      </c>
      <c r="Y608" s="112">
        <v>92778</v>
      </c>
      <c r="Z608" s="112">
        <v>141891</v>
      </c>
    </row>
    <row r="609" spans="1:26" ht="18" hidden="1" customHeight="1" x14ac:dyDescent="0.2">
      <c r="A609" s="46">
        <f t="shared" si="124"/>
        <v>43460</v>
      </c>
      <c r="B609" s="47" t="s">
        <v>98</v>
      </c>
      <c r="C609" s="48">
        <f t="shared" si="118"/>
        <v>2042</v>
      </c>
      <c r="D609" s="99">
        <f t="shared" si="122"/>
        <v>872</v>
      </c>
      <c r="E609" s="45">
        <f t="shared" si="123"/>
        <v>1126.9999999999782</v>
      </c>
      <c r="F609" s="45">
        <f t="shared" si="119"/>
        <v>96</v>
      </c>
      <c r="G609" s="79">
        <f t="shared" si="120"/>
        <v>4136.9999999999782</v>
      </c>
      <c r="H609" s="77">
        <v>4163</v>
      </c>
      <c r="I609" s="77">
        <v>972</v>
      </c>
      <c r="J609" s="80">
        <f t="shared" si="117"/>
        <v>5135</v>
      </c>
      <c r="K609" s="81">
        <f t="shared" si="121"/>
        <v>998.00000000002183</v>
      </c>
      <c r="L609" s="43"/>
      <c r="N609" s="112">
        <v>120987</v>
      </c>
      <c r="O609" s="112">
        <v>73054</v>
      </c>
      <c r="P609" s="112">
        <v>5178</v>
      </c>
      <c r="Q609" s="112"/>
      <c r="R609" s="112">
        <v>26422</v>
      </c>
      <c r="S609" s="113">
        <v>4732.6000000000004</v>
      </c>
      <c r="T609" s="113"/>
      <c r="U609" s="113"/>
      <c r="V609" s="112">
        <v>184559</v>
      </c>
      <c r="W609" s="112">
        <v>108359</v>
      </c>
      <c r="X609" s="112">
        <v>78557</v>
      </c>
      <c r="Y609" s="112">
        <v>92778</v>
      </c>
      <c r="Z609" s="112">
        <v>142010</v>
      </c>
    </row>
    <row r="610" spans="1:26" ht="18" hidden="1" customHeight="1" x14ac:dyDescent="0.2">
      <c r="A610" s="46">
        <f t="shared" si="124"/>
        <v>43461</v>
      </c>
      <c r="B610" s="47" t="s">
        <v>99</v>
      </c>
      <c r="C610" s="48">
        <f t="shared" si="118"/>
        <v>2268</v>
      </c>
      <c r="D610" s="99">
        <f t="shared" si="122"/>
        <v>1768</v>
      </c>
      <c r="E610" s="45">
        <f t="shared" si="123"/>
        <v>1055.9999999999345</v>
      </c>
      <c r="F610" s="45">
        <f t="shared" si="119"/>
        <v>111</v>
      </c>
      <c r="G610" s="79">
        <f t="shared" si="120"/>
        <v>5202.9999999999345</v>
      </c>
      <c r="H610" s="77">
        <v>4303</v>
      </c>
      <c r="I610" s="77">
        <v>925</v>
      </c>
      <c r="J610" s="80">
        <f t="shared" si="117"/>
        <v>5228</v>
      </c>
      <c r="K610" s="81">
        <f t="shared" si="121"/>
        <v>25.000000000065484</v>
      </c>
      <c r="L610" s="43"/>
      <c r="N610" s="112">
        <v>121087</v>
      </c>
      <c r="O610" s="112">
        <v>73124</v>
      </c>
      <c r="P610" s="112">
        <v>5187</v>
      </c>
      <c r="Q610" s="112"/>
      <c r="R610" s="112">
        <v>26445</v>
      </c>
      <c r="S610" s="113">
        <v>4741.8</v>
      </c>
      <c r="T610" s="113"/>
      <c r="U610" s="113"/>
      <c r="V610" s="112">
        <v>184745</v>
      </c>
      <c r="W610" s="112">
        <v>108393</v>
      </c>
      <c r="X610" s="112">
        <v>78621</v>
      </c>
      <c r="Y610" s="112">
        <v>92778</v>
      </c>
      <c r="Z610" s="112">
        <v>142106</v>
      </c>
    </row>
    <row r="611" spans="1:26" ht="18" hidden="1" customHeight="1" x14ac:dyDescent="0.2">
      <c r="A611" s="46">
        <f t="shared" si="124"/>
        <v>43462</v>
      </c>
      <c r="B611" s="47" t="s">
        <v>100</v>
      </c>
      <c r="C611" s="48">
        <f t="shared" si="118"/>
        <v>0</v>
      </c>
      <c r="D611" s="99">
        <f t="shared" si="122"/>
        <v>0</v>
      </c>
      <c r="E611" s="45">
        <f t="shared" si="123"/>
        <v>0</v>
      </c>
      <c r="F611" s="45">
        <f t="shared" si="119"/>
        <v>0</v>
      </c>
      <c r="G611" s="79">
        <f t="shared" si="120"/>
        <v>0</v>
      </c>
      <c r="H611" s="77">
        <v>4464</v>
      </c>
      <c r="I611" s="77">
        <v>1037</v>
      </c>
      <c r="J611" s="80">
        <f t="shared" si="117"/>
        <v>5501</v>
      </c>
      <c r="K611" s="81">
        <f t="shared" si="121"/>
        <v>5501</v>
      </c>
      <c r="L611" s="43"/>
      <c r="N611" s="153">
        <v>121297</v>
      </c>
      <c r="O611" s="153">
        <v>73202</v>
      </c>
      <c r="P611" s="153">
        <v>5198</v>
      </c>
      <c r="Q611" s="153"/>
      <c r="R611" s="153">
        <v>26469</v>
      </c>
      <c r="S611" s="154">
        <v>4750.3999999999996</v>
      </c>
      <c r="T611" s="154"/>
      <c r="U611" s="154"/>
      <c r="V611" s="153">
        <v>184909</v>
      </c>
      <c r="W611" s="153">
        <v>108428</v>
      </c>
      <c r="X611" s="153">
        <v>78703</v>
      </c>
      <c r="Y611" s="153">
        <v>92778</v>
      </c>
      <c r="Z611" s="153">
        <v>142217</v>
      </c>
    </row>
    <row r="612" spans="1:26" ht="18" hidden="1" customHeight="1" x14ac:dyDescent="0.2">
      <c r="A612" s="46">
        <f t="shared" si="124"/>
        <v>43463</v>
      </c>
      <c r="B612" s="47" t="s">
        <v>101</v>
      </c>
      <c r="C612" s="48">
        <f t="shared" ref="C612:C617" si="125">(V613-V612)*1+(W613-W612)*32+(X613-X612)*12+(Y613-Y612)*6</f>
        <v>0</v>
      </c>
      <c r="D612" s="99">
        <f t="shared" si="122"/>
        <v>0</v>
      </c>
      <c r="E612" s="45">
        <f t="shared" si="123"/>
        <v>0</v>
      </c>
      <c r="F612" s="45">
        <f t="shared" ref="F612:F617" si="126">(Z613-Z612)*1</f>
        <v>0</v>
      </c>
      <c r="G612" s="79">
        <f t="shared" si="120"/>
        <v>0</v>
      </c>
      <c r="H612" s="77">
        <v>0</v>
      </c>
      <c r="I612" s="77">
        <v>3719</v>
      </c>
      <c r="J612" s="80">
        <f t="shared" si="117"/>
        <v>3719</v>
      </c>
      <c r="K612" s="81">
        <f t="shared" si="121"/>
        <v>3719</v>
      </c>
      <c r="L612" s="43"/>
      <c r="N612" s="153">
        <v>121297</v>
      </c>
      <c r="O612" s="153">
        <v>73202</v>
      </c>
      <c r="P612" s="153">
        <v>5198</v>
      </c>
      <c r="Q612" s="153"/>
      <c r="R612" s="153">
        <v>26469</v>
      </c>
      <c r="S612" s="154">
        <v>4750.3999999999996</v>
      </c>
      <c r="T612" s="154"/>
      <c r="U612" s="154"/>
      <c r="V612" s="153">
        <v>184909</v>
      </c>
      <c r="W612" s="153">
        <v>108428</v>
      </c>
      <c r="X612" s="153">
        <v>78703</v>
      </c>
      <c r="Y612" s="153">
        <v>92778</v>
      </c>
      <c r="Z612" s="153">
        <v>142217</v>
      </c>
    </row>
    <row r="613" spans="1:26" ht="18" hidden="1" customHeight="1" x14ac:dyDescent="0.2">
      <c r="A613" s="47">
        <v>43464</v>
      </c>
      <c r="B613" s="47" t="s">
        <v>95</v>
      </c>
      <c r="C613" s="48">
        <f>(V614-V613)*1+(W614-W613)*32+(X614-X613)*12+(Y614-Y613)*6</f>
        <v>0</v>
      </c>
      <c r="D613" s="99">
        <f t="shared" si="122"/>
        <v>0</v>
      </c>
      <c r="E613" s="45">
        <f t="shared" si="123"/>
        <v>0</v>
      </c>
      <c r="F613" s="45">
        <f>(Z614-Z613)*1</f>
        <v>0</v>
      </c>
      <c r="G613" s="79">
        <f t="shared" ref="G613:G623" si="127">C613+D613+F613+E613</f>
        <v>0</v>
      </c>
      <c r="H613" s="202">
        <v>0</v>
      </c>
      <c r="I613" s="199">
        <v>3978</v>
      </c>
      <c r="J613" s="80">
        <f t="shared" si="117"/>
        <v>3978</v>
      </c>
      <c r="K613" s="81">
        <f t="shared" si="121"/>
        <v>3978</v>
      </c>
      <c r="L613" s="43"/>
      <c r="N613" s="153">
        <v>121297</v>
      </c>
      <c r="O613" s="153">
        <v>73202</v>
      </c>
      <c r="P613" s="153">
        <v>5198</v>
      </c>
      <c r="Q613" s="153"/>
      <c r="R613" s="153">
        <v>26469</v>
      </c>
      <c r="S613" s="154">
        <v>4750.3999999999996</v>
      </c>
      <c r="T613" s="154"/>
      <c r="U613" s="154"/>
      <c r="V613" s="153">
        <v>184909</v>
      </c>
      <c r="W613" s="153">
        <v>108428</v>
      </c>
      <c r="X613" s="153">
        <v>78703</v>
      </c>
      <c r="Y613" s="153">
        <v>92778</v>
      </c>
      <c r="Z613" s="153">
        <v>142217</v>
      </c>
    </row>
    <row r="614" spans="1:26" ht="18" hidden="1" customHeight="1" x14ac:dyDescent="0.2">
      <c r="A614" s="47">
        <v>43465</v>
      </c>
      <c r="B614" s="47" t="s">
        <v>96</v>
      </c>
      <c r="C614" s="48">
        <f>(V615-V614)*1+(W615-W614)*32+(X615-X614)*12+(Y615-Y614)*6</f>
        <v>4644</v>
      </c>
      <c r="D614" s="99">
        <f t="shared" si="122"/>
        <v>8000</v>
      </c>
      <c r="E614" s="45">
        <f t="shared" si="123"/>
        <v>5452.0000000000437</v>
      </c>
      <c r="F614" s="45">
        <f>(Z615-Z614)*1</f>
        <v>619</v>
      </c>
      <c r="G614" s="79">
        <f t="shared" si="127"/>
        <v>18715.000000000044</v>
      </c>
      <c r="H614" s="199">
        <v>2983</v>
      </c>
      <c r="I614" s="199">
        <v>1083</v>
      </c>
      <c r="J614" s="80">
        <f t="shared" si="117"/>
        <v>4066</v>
      </c>
      <c r="K614" s="81">
        <f t="shared" si="121"/>
        <v>-14649.000000000044</v>
      </c>
      <c r="L614" s="43"/>
      <c r="N614" s="112">
        <v>121297</v>
      </c>
      <c r="O614" s="112">
        <v>73202</v>
      </c>
      <c r="P614" s="112">
        <v>5198</v>
      </c>
      <c r="Q614" s="112"/>
      <c r="R614" s="112">
        <v>26469</v>
      </c>
      <c r="S614" s="113">
        <v>4750.3999999999996</v>
      </c>
      <c r="T614" s="113"/>
      <c r="U614" s="113"/>
      <c r="V614" s="112">
        <v>184909</v>
      </c>
      <c r="W614" s="112">
        <v>108428</v>
      </c>
      <c r="X614" s="112">
        <v>78703</v>
      </c>
      <c r="Y614" s="112">
        <v>92778</v>
      </c>
      <c r="Z614" s="112">
        <v>142217</v>
      </c>
    </row>
    <row r="615" spans="1:26" ht="18" hidden="1" customHeight="1" x14ac:dyDescent="0.2">
      <c r="A615" s="47">
        <f>A614+1</f>
        <v>43466</v>
      </c>
      <c r="B615" s="47" t="s">
        <v>97</v>
      </c>
      <c r="C615" s="48">
        <f>(V616-V615)*1+(W616-W615)*32+(X616-X615)*12+(Y616-Y615)*6</f>
        <v>474</v>
      </c>
      <c r="D615" s="99">
        <f t="shared" si="122"/>
        <v>1272</v>
      </c>
      <c r="E615" s="45">
        <f t="shared" si="123"/>
        <v>1103</v>
      </c>
      <c r="F615" s="45">
        <f>(Z616-Z615)*1</f>
        <v>99</v>
      </c>
      <c r="G615" s="79">
        <f t="shared" si="127"/>
        <v>2948</v>
      </c>
      <c r="H615" s="199">
        <v>0</v>
      </c>
      <c r="I615" s="199">
        <v>4064</v>
      </c>
      <c r="J615" s="200">
        <f>H615+I615</f>
        <v>4064</v>
      </c>
      <c r="K615" s="201">
        <f>J615-G615</f>
        <v>1116</v>
      </c>
      <c r="L615" s="43"/>
      <c r="N615" s="203">
        <f>122447-150</f>
        <v>122297</v>
      </c>
      <c r="O615" s="203">
        <v>73637</v>
      </c>
      <c r="P615" s="203">
        <f>5207-9</f>
        <v>5198</v>
      </c>
      <c r="Q615" s="203"/>
      <c r="R615" s="203">
        <f>26592-23</f>
        <v>26569</v>
      </c>
      <c r="S615" s="204">
        <f>4804-9</f>
        <v>4795</v>
      </c>
      <c r="T615" s="204"/>
      <c r="U615" s="204"/>
      <c r="V615" s="203">
        <f>185571-186</f>
        <v>185385</v>
      </c>
      <c r="W615" s="203">
        <f>108493-9</f>
        <v>108484</v>
      </c>
      <c r="X615" s="203">
        <v>78901</v>
      </c>
      <c r="Y615" s="203">
        <v>92778</v>
      </c>
      <c r="Z615" s="203">
        <f>142935-99</f>
        <v>142836</v>
      </c>
    </row>
    <row r="616" spans="1:26" ht="18" hidden="1" customHeight="1" x14ac:dyDescent="0.2">
      <c r="A616" s="47">
        <f t="shared" ref="A616:A679" si="128">A615+1</f>
        <v>43467</v>
      </c>
      <c r="B616" s="47" t="s">
        <v>98</v>
      </c>
      <c r="C616" s="48">
        <f t="shared" si="125"/>
        <v>2124</v>
      </c>
      <c r="D616" s="99">
        <f t="shared" si="122"/>
        <v>1904</v>
      </c>
      <c r="E616" s="45">
        <f t="shared" si="123"/>
        <v>1357.0000000000437</v>
      </c>
      <c r="F616" s="45">
        <f t="shared" si="126"/>
        <v>153</v>
      </c>
      <c r="G616" s="79">
        <f t="shared" si="127"/>
        <v>5538.0000000000437</v>
      </c>
      <c r="H616" s="199">
        <v>4642</v>
      </c>
      <c r="I616" s="199">
        <v>1089</v>
      </c>
      <c r="J616" s="200">
        <f t="shared" ref="J616:J645" si="129">H616+I616</f>
        <v>5731</v>
      </c>
      <c r="K616" s="201">
        <f t="shared" ref="K616:K679" si="130">J616-G616</f>
        <v>192.99999999995634</v>
      </c>
      <c r="L616" s="43"/>
      <c r="N616" s="112">
        <v>122447</v>
      </c>
      <c r="O616" s="112">
        <v>73637</v>
      </c>
      <c r="P616" s="112">
        <v>5207</v>
      </c>
      <c r="Q616" s="112"/>
      <c r="R616" s="112">
        <v>26592</v>
      </c>
      <c r="S616" s="113">
        <v>4804</v>
      </c>
      <c r="T616" s="113"/>
      <c r="U616" s="113"/>
      <c r="V616" s="112">
        <v>185571</v>
      </c>
      <c r="W616" s="112">
        <v>108493</v>
      </c>
      <c r="X616" s="112">
        <v>78901</v>
      </c>
      <c r="Y616" s="112">
        <v>92778</v>
      </c>
      <c r="Z616" s="112">
        <v>142935</v>
      </c>
    </row>
    <row r="617" spans="1:26" ht="18" hidden="1" customHeight="1" x14ac:dyDescent="0.2">
      <c r="A617" s="47">
        <f t="shared" si="128"/>
        <v>43468</v>
      </c>
      <c r="B617" s="47" t="s">
        <v>99</v>
      </c>
      <c r="C617" s="48">
        <f t="shared" si="125"/>
        <v>2098</v>
      </c>
      <c r="D617" s="99">
        <f t="shared" si="122"/>
        <v>2096</v>
      </c>
      <c r="E617" s="45">
        <f t="shared" si="123"/>
        <v>1127.9999999999782</v>
      </c>
      <c r="F617" s="45">
        <f t="shared" si="126"/>
        <v>141</v>
      </c>
      <c r="G617" s="79">
        <f t="shared" si="127"/>
        <v>5462.9999999999782</v>
      </c>
      <c r="H617" s="199">
        <v>4337</v>
      </c>
      <c r="I617" s="199">
        <v>1087</v>
      </c>
      <c r="J617" s="200">
        <f t="shared" si="129"/>
        <v>5424</v>
      </c>
      <c r="K617" s="201">
        <f t="shared" si="130"/>
        <v>-38.999999999978172</v>
      </c>
      <c r="L617" s="43"/>
      <c r="N617" s="112">
        <v>122677</v>
      </c>
      <c r="O617" s="112">
        <v>73726</v>
      </c>
      <c r="P617" s="112">
        <v>5215</v>
      </c>
      <c r="Q617" s="112"/>
      <c r="R617" s="112">
        <v>26617</v>
      </c>
      <c r="S617" s="113">
        <v>4815.1000000000004</v>
      </c>
      <c r="T617" s="113"/>
      <c r="U617" s="113"/>
      <c r="V617" s="112">
        <v>185739</v>
      </c>
      <c r="W617" s="112">
        <v>108523</v>
      </c>
      <c r="X617" s="112">
        <v>78984</v>
      </c>
      <c r="Y617" s="112">
        <v>92778</v>
      </c>
      <c r="Z617" s="112">
        <v>143088</v>
      </c>
    </row>
    <row r="618" spans="1:26" ht="18" hidden="1" customHeight="1" x14ac:dyDescent="0.2">
      <c r="A618" s="47">
        <f t="shared" si="128"/>
        <v>43469</v>
      </c>
      <c r="B618" s="47" t="s">
        <v>100</v>
      </c>
      <c r="C618" s="48">
        <f t="shared" ref="C618:C623" si="131">(V619-V618)*1+(W619-W618)*32+(X619-X618)*12+(Y619-Y618)*6</f>
        <v>0</v>
      </c>
      <c r="D618" s="99">
        <f t="shared" si="122"/>
        <v>0</v>
      </c>
      <c r="E618" s="45">
        <f t="shared" si="123"/>
        <v>0</v>
      </c>
      <c r="F618" s="45">
        <f t="shared" ref="F618:F623" si="132">(Z619-Z618)*1</f>
        <v>0</v>
      </c>
      <c r="G618" s="79">
        <f t="shared" si="127"/>
        <v>0</v>
      </c>
      <c r="H618" s="199">
        <v>4220</v>
      </c>
      <c r="I618" s="199">
        <v>1048</v>
      </c>
      <c r="J618" s="200">
        <f t="shared" si="129"/>
        <v>5268</v>
      </c>
      <c r="K618" s="201">
        <f t="shared" si="130"/>
        <v>5268</v>
      </c>
      <c r="L618" s="43"/>
      <c r="N618" s="112">
        <v>122897</v>
      </c>
      <c r="O618" s="112">
        <v>73807</v>
      </c>
      <c r="P618" s="112">
        <v>5257</v>
      </c>
      <c r="Q618" s="112"/>
      <c r="R618" s="112">
        <v>26641</v>
      </c>
      <c r="S618" s="113">
        <v>4824.3</v>
      </c>
      <c r="T618" s="113"/>
      <c r="U618" s="113"/>
      <c r="V618" s="112">
        <v>185905</v>
      </c>
      <c r="W618" s="112">
        <v>108553</v>
      </c>
      <c r="X618" s="112">
        <v>79065</v>
      </c>
      <c r="Y618" s="112">
        <v>92778</v>
      </c>
      <c r="Z618" s="112">
        <v>143229</v>
      </c>
    </row>
    <row r="619" spans="1:26" ht="18" hidden="1" customHeight="1" x14ac:dyDescent="0.2">
      <c r="A619" s="47">
        <f t="shared" si="128"/>
        <v>43470</v>
      </c>
      <c r="B619" s="56" t="s">
        <v>103</v>
      </c>
      <c r="C619" s="48">
        <f t="shared" si="131"/>
        <v>0</v>
      </c>
      <c r="D619" s="99">
        <f t="shared" si="122"/>
        <v>0</v>
      </c>
      <c r="E619" s="45">
        <f t="shared" si="123"/>
        <v>0</v>
      </c>
      <c r="F619" s="45">
        <f t="shared" si="132"/>
        <v>0</v>
      </c>
      <c r="G619" s="79">
        <f t="shared" si="127"/>
        <v>0</v>
      </c>
      <c r="H619" s="199">
        <v>0</v>
      </c>
      <c r="I619" s="199">
        <v>3901</v>
      </c>
      <c r="J619" s="200">
        <f t="shared" si="129"/>
        <v>3901</v>
      </c>
      <c r="K619" s="201">
        <f t="shared" si="130"/>
        <v>3901</v>
      </c>
      <c r="L619" s="43"/>
      <c r="N619" s="153">
        <v>122897</v>
      </c>
      <c r="O619" s="153">
        <v>73807</v>
      </c>
      <c r="P619" s="153">
        <v>5257</v>
      </c>
      <c r="Q619" s="153"/>
      <c r="R619" s="153">
        <v>26641</v>
      </c>
      <c r="S619" s="154">
        <v>4824.3</v>
      </c>
      <c r="T619" s="154"/>
      <c r="U619" s="154"/>
      <c r="V619" s="153">
        <v>185905</v>
      </c>
      <c r="W619" s="153">
        <v>108553</v>
      </c>
      <c r="X619" s="153">
        <v>79065</v>
      </c>
      <c r="Y619" s="153">
        <v>92778</v>
      </c>
      <c r="Z619" s="153">
        <v>143229</v>
      </c>
    </row>
    <row r="620" spans="1:26" ht="18" hidden="1" customHeight="1" x14ac:dyDescent="0.2">
      <c r="A620" s="47">
        <f t="shared" si="128"/>
        <v>43471</v>
      </c>
      <c r="B620" s="56" t="s">
        <v>104</v>
      </c>
      <c r="C620" s="48">
        <f t="shared" si="131"/>
        <v>3105</v>
      </c>
      <c r="D620" s="99">
        <f t="shared" si="122"/>
        <v>5520</v>
      </c>
      <c r="E620" s="45">
        <f t="shared" si="123"/>
        <v>3815.9999999999782</v>
      </c>
      <c r="F620" s="45">
        <f t="shared" si="132"/>
        <v>371</v>
      </c>
      <c r="G620" s="79">
        <f t="shared" si="127"/>
        <v>12811.999999999978</v>
      </c>
      <c r="H620" s="199">
        <v>0</v>
      </c>
      <c r="I620" s="199">
        <v>3869</v>
      </c>
      <c r="J620" s="200">
        <f t="shared" si="129"/>
        <v>3869</v>
      </c>
      <c r="K620" s="201">
        <f t="shared" si="130"/>
        <v>-8942.9999999999782</v>
      </c>
      <c r="L620" s="43"/>
      <c r="N620" s="153">
        <v>122897</v>
      </c>
      <c r="O620" s="153">
        <v>73807</v>
      </c>
      <c r="P620" s="153">
        <v>5257</v>
      </c>
      <c r="Q620" s="153"/>
      <c r="R620" s="153">
        <v>26641</v>
      </c>
      <c r="S620" s="154">
        <v>4824.3</v>
      </c>
      <c r="T620" s="154"/>
      <c r="U620" s="154"/>
      <c r="V620" s="153">
        <v>185905</v>
      </c>
      <c r="W620" s="153">
        <v>108553</v>
      </c>
      <c r="X620" s="153">
        <v>79065</v>
      </c>
      <c r="Y620" s="153">
        <v>92778</v>
      </c>
      <c r="Z620" s="153">
        <v>143229</v>
      </c>
    </row>
    <row r="621" spans="1:26" ht="18" hidden="1" customHeight="1" x14ac:dyDescent="0.2">
      <c r="A621" s="47">
        <f t="shared" si="128"/>
        <v>43472</v>
      </c>
      <c r="B621" s="47" t="s">
        <v>96</v>
      </c>
      <c r="C621" s="48">
        <f t="shared" si="131"/>
        <v>1912</v>
      </c>
      <c r="D621" s="99">
        <f t="shared" si="122"/>
        <v>1872</v>
      </c>
      <c r="E621" s="45">
        <f t="shared" si="123"/>
        <v>1127.9999999999782</v>
      </c>
      <c r="F621" s="45">
        <f t="shared" si="132"/>
        <v>128</v>
      </c>
      <c r="G621" s="79">
        <f t="shared" si="127"/>
        <v>5039.9999999999782</v>
      </c>
      <c r="H621" s="199">
        <v>4316</v>
      </c>
      <c r="I621" s="199">
        <v>1078</v>
      </c>
      <c r="J621" s="200">
        <f t="shared" si="129"/>
        <v>5394</v>
      </c>
      <c r="K621" s="201">
        <f t="shared" si="130"/>
        <v>354.00000000002183</v>
      </c>
      <c r="L621" s="43"/>
      <c r="N621" s="112">
        <v>123567</v>
      </c>
      <c r="O621" s="112">
        <v>74056</v>
      </c>
      <c r="P621" s="112">
        <v>5277</v>
      </c>
      <c r="Q621" s="112"/>
      <c r="R621" s="112">
        <v>26713</v>
      </c>
      <c r="S621" s="113">
        <v>4855.5</v>
      </c>
      <c r="T621" s="113"/>
      <c r="U621" s="113"/>
      <c r="V621" s="112">
        <v>186414</v>
      </c>
      <c r="W621" s="112">
        <v>108603</v>
      </c>
      <c r="X621" s="112">
        <v>79148</v>
      </c>
      <c r="Y621" s="112">
        <v>92778</v>
      </c>
      <c r="Z621" s="112">
        <v>143600</v>
      </c>
    </row>
    <row r="622" spans="1:26" ht="18" hidden="1" customHeight="1" x14ac:dyDescent="0.2">
      <c r="A622" s="47">
        <f t="shared" si="128"/>
        <v>43473</v>
      </c>
      <c r="B622" s="47" t="s">
        <v>97</v>
      </c>
      <c r="C622" s="48">
        <f t="shared" si="131"/>
        <v>2235</v>
      </c>
      <c r="D622" s="99">
        <f t="shared" si="122"/>
        <v>1816</v>
      </c>
      <c r="E622" s="45">
        <f t="shared" si="123"/>
        <v>1031.0000000000655</v>
      </c>
      <c r="F622" s="45">
        <f t="shared" si="132"/>
        <v>117</v>
      </c>
      <c r="G622" s="79">
        <f t="shared" si="127"/>
        <v>5199.0000000000655</v>
      </c>
      <c r="H622" s="199">
        <v>4102</v>
      </c>
      <c r="I622" s="199">
        <v>1116</v>
      </c>
      <c r="J622" s="200">
        <f t="shared" si="129"/>
        <v>5218</v>
      </c>
      <c r="K622" s="201">
        <f t="shared" si="130"/>
        <v>18.999999999934516</v>
      </c>
      <c r="L622" s="43"/>
      <c r="N622" s="112">
        <v>123787</v>
      </c>
      <c r="O622" s="112">
        <v>74142</v>
      </c>
      <c r="P622" s="112">
        <v>5291</v>
      </c>
      <c r="Q622" s="112"/>
      <c r="R622" s="112">
        <v>26737</v>
      </c>
      <c r="S622" s="113">
        <v>4864.7</v>
      </c>
      <c r="T622" s="113"/>
      <c r="U622" s="113"/>
      <c r="V622" s="112">
        <v>186578</v>
      </c>
      <c r="W622" s="112">
        <v>108634</v>
      </c>
      <c r="X622" s="112">
        <v>79211</v>
      </c>
      <c r="Y622" s="112">
        <v>92778</v>
      </c>
      <c r="Z622" s="112">
        <v>143728</v>
      </c>
    </row>
    <row r="623" spans="1:26" ht="18" hidden="1" customHeight="1" x14ac:dyDescent="0.2">
      <c r="A623" s="47">
        <f t="shared" si="128"/>
        <v>43474</v>
      </c>
      <c r="B623" s="47" t="s">
        <v>98</v>
      </c>
      <c r="C623" s="48">
        <f t="shared" si="131"/>
        <v>1017</v>
      </c>
      <c r="D623" s="99">
        <f t="shared" si="122"/>
        <v>1920</v>
      </c>
      <c r="E623" s="45">
        <f t="shared" si="123"/>
        <v>1165</v>
      </c>
      <c r="F623" s="45">
        <f t="shared" si="132"/>
        <v>102</v>
      </c>
      <c r="G623" s="79">
        <f t="shared" si="127"/>
        <v>4204</v>
      </c>
      <c r="H623" s="199">
        <v>4418</v>
      </c>
      <c r="I623" s="199">
        <v>1112</v>
      </c>
      <c r="J623" s="200">
        <f t="shared" si="129"/>
        <v>5530</v>
      </c>
      <c r="K623" s="201">
        <f t="shared" si="130"/>
        <v>1326</v>
      </c>
      <c r="L623" s="43"/>
      <c r="N623" s="112">
        <v>124007</v>
      </c>
      <c r="O623" s="112">
        <v>74226</v>
      </c>
      <c r="P623" s="112">
        <v>5298</v>
      </c>
      <c r="Q623" s="112"/>
      <c r="R623" s="112">
        <v>26760</v>
      </c>
      <c r="S623" s="113">
        <v>4873.1000000000004</v>
      </c>
      <c r="T623" s="113"/>
      <c r="U623" s="113"/>
      <c r="V623" s="112">
        <v>186761</v>
      </c>
      <c r="W623" s="112">
        <v>108667</v>
      </c>
      <c r="X623" s="112">
        <v>79294</v>
      </c>
      <c r="Y623" s="112">
        <v>92778</v>
      </c>
      <c r="Z623" s="112">
        <v>143845</v>
      </c>
    </row>
    <row r="624" spans="1:26" ht="18" hidden="1" customHeight="1" x14ac:dyDescent="0.2">
      <c r="A624" s="47">
        <f t="shared" si="128"/>
        <v>43475</v>
      </c>
      <c r="B624" s="47" t="s">
        <v>99</v>
      </c>
      <c r="C624" s="48">
        <f t="shared" ref="C624:C629" si="133">(V625-V624)*1+(W625-W624)*32+(X625-X624)*12+(Y625-Y624)*6</f>
        <v>2056</v>
      </c>
      <c r="D624" s="99">
        <f t="shared" si="122"/>
        <v>1816</v>
      </c>
      <c r="E624" s="45">
        <f t="shared" si="123"/>
        <v>981</v>
      </c>
      <c r="F624" s="45">
        <f t="shared" ref="F624:F629" si="134">(Z625-Z624)*1</f>
        <v>101</v>
      </c>
      <c r="G624" s="79">
        <f t="shared" ref="G624:G629" si="135">C624+D624+F624+E624</f>
        <v>4954</v>
      </c>
      <c r="H624" s="199">
        <v>4012</v>
      </c>
      <c r="I624" s="199">
        <v>1120</v>
      </c>
      <c r="J624" s="200">
        <f t="shared" si="129"/>
        <v>5132</v>
      </c>
      <c r="K624" s="201">
        <f t="shared" si="130"/>
        <v>178</v>
      </c>
      <c r="L624" s="43"/>
      <c r="N624" s="112">
        <v>124237</v>
      </c>
      <c r="O624" s="112">
        <v>74313</v>
      </c>
      <c r="P624" s="112">
        <v>5308</v>
      </c>
      <c r="Q624" s="112"/>
      <c r="R624" s="112">
        <v>26785</v>
      </c>
      <c r="S624" s="113">
        <v>4882.6000000000004</v>
      </c>
      <c r="T624" s="113"/>
      <c r="U624" s="113"/>
      <c r="V624" s="112">
        <v>186930</v>
      </c>
      <c r="W624" s="112">
        <v>108701</v>
      </c>
      <c r="X624" s="112">
        <v>79274</v>
      </c>
      <c r="Y624" s="112">
        <v>92778</v>
      </c>
      <c r="Z624" s="112">
        <v>143947</v>
      </c>
    </row>
    <row r="625" spans="1:26" ht="18" hidden="1" customHeight="1" x14ac:dyDescent="0.2">
      <c r="A625" s="47">
        <f t="shared" si="128"/>
        <v>43476</v>
      </c>
      <c r="B625" s="47" t="s">
        <v>100</v>
      </c>
      <c r="C625" s="48">
        <f t="shared" si="133"/>
        <v>0</v>
      </c>
      <c r="D625" s="99">
        <f t="shared" si="122"/>
        <v>0</v>
      </c>
      <c r="E625" s="45">
        <f t="shared" si="123"/>
        <v>0</v>
      </c>
      <c r="F625" s="45">
        <f t="shared" si="134"/>
        <v>0</v>
      </c>
      <c r="G625" s="79">
        <f t="shared" si="135"/>
        <v>0</v>
      </c>
      <c r="H625" s="199">
        <v>4111</v>
      </c>
      <c r="I625" s="199">
        <v>1091</v>
      </c>
      <c r="J625" s="200">
        <f t="shared" si="129"/>
        <v>5202</v>
      </c>
      <c r="K625" s="201">
        <f t="shared" si="130"/>
        <v>5202</v>
      </c>
      <c r="L625" s="43"/>
      <c r="N625" s="112">
        <v>124457</v>
      </c>
      <c r="O625" s="112">
        <v>74396</v>
      </c>
      <c r="P625" s="112">
        <v>5315</v>
      </c>
      <c r="Q625" s="112"/>
      <c r="R625" s="112">
        <v>26806</v>
      </c>
      <c r="S625" s="113">
        <v>4890.6000000000004</v>
      </c>
      <c r="T625" s="113"/>
      <c r="U625" s="113"/>
      <c r="V625" s="112">
        <v>187114</v>
      </c>
      <c r="W625" s="112">
        <v>108734</v>
      </c>
      <c r="X625" s="112">
        <v>79342</v>
      </c>
      <c r="Y625" s="112">
        <v>92778</v>
      </c>
      <c r="Z625" s="112">
        <v>144048</v>
      </c>
    </row>
    <row r="626" spans="1:26" ht="18" hidden="1" customHeight="1" x14ac:dyDescent="0.2">
      <c r="A626" s="47">
        <f t="shared" si="128"/>
        <v>43477</v>
      </c>
      <c r="B626" s="47" t="s">
        <v>101</v>
      </c>
      <c r="C626" s="48">
        <f t="shared" si="133"/>
        <v>0</v>
      </c>
      <c r="D626" s="99">
        <f t="shared" si="122"/>
        <v>0</v>
      </c>
      <c r="E626" s="45">
        <f t="shared" si="123"/>
        <v>0</v>
      </c>
      <c r="F626" s="45">
        <f t="shared" si="134"/>
        <v>0</v>
      </c>
      <c r="G626" s="79">
        <f t="shared" si="135"/>
        <v>0</v>
      </c>
      <c r="H626" s="199">
        <v>0</v>
      </c>
      <c r="I626" s="199">
        <v>3713</v>
      </c>
      <c r="J626" s="200">
        <f t="shared" si="129"/>
        <v>3713</v>
      </c>
      <c r="K626" s="201">
        <f t="shared" si="130"/>
        <v>3713</v>
      </c>
      <c r="L626" s="43"/>
      <c r="N626" s="153">
        <v>124457</v>
      </c>
      <c r="O626" s="153">
        <v>74396</v>
      </c>
      <c r="P626" s="153">
        <v>5315</v>
      </c>
      <c r="Q626" s="153"/>
      <c r="R626" s="153">
        <v>26806</v>
      </c>
      <c r="S626" s="154">
        <v>4890.6000000000004</v>
      </c>
      <c r="T626" s="154"/>
      <c r="U626" s="154"/>
      <c r="V626" s="153">
        <v>187114</v>
      </c>
      <c r="W626" s="153">
        <v>108734</v>
      </c>
      <c r="X626" s="153">
        <v>79342</v>
      </c>
      <c r="Y626" s="153">
        <v>92778</v>
      </c>
      <c r="Z626" s="153">
        <v>144048</v>
      </c>
    </row>
    <row r="627" spans="1:26" ht="18" hidden="1" customHeight="1" x14ac:dyDescent="0.2">
      <c r="A627" s="47">
        <f t="shared" si="128"/>
        <v>43478</v>
      </c>
      <c r="B627" s="47" t="s">
        <v>95</v>
      </c>
      <c r="C627" s="48">
        <f t="shared" si="133"/>
        <v>2970</v>
      </c>
      <c r="D627" s="99">
        <f t="shared" si="122"/>
        <v>5232</v>
      </c>
      <c r="E627" s="45">
        <f t="shared" si="123"/>
        <v>3684.9999999999127</v>
      </c>
      <c r="F627" s="45">
        <f t="shared" si="134"/>
        <v>329</v>
      </c>
      <c r="G627" s="79">
        <f t="shared" si="135"/>
        <v>12215.999999999913</v>
      </c>
      <c r="H627" s="199">
        <v>0</v>
      </c>
      <c r="I627" s="199">
        <v>3833</v>
      </c>
      <c r="J627" s="200">
        <f t="shared" si="129"/>
        <v>3833</v>
      </c>
      <c r="K627" s="201">
        <f t="shared" si="130"/>
        <v>-8382.9999999999127</v>
      </c>
      <c r="L627" s="43"/>
      <c r="N627" s="153">
        <v>124457</v>
      </c>
      <c r="O627" s="153">
        <v>74396</v>
      </c>
      <c r="P627" s="153">
        <v>5315</v>
      </c>
      <c r="Q627" s="153"/>
      <c r="R627" s="153">
        <v>26806</v>
      </c>
      <c r="S627" s="154">
        <v>4890.6000000000004</v>
      </c>
      <c r="T627" s="154"/>
      <c r="U627" s="154"/>
      <c r="V627" s="153">
        <v>187114</v>
      </c>
      <c r="W627" s="153">
        <v>108734</v>
      </c>
      <c r="X627" s="153">
        <v>79342</v>
      </c>
      <c r="Y627" s="153">
        <v>92778</v>
      </c>
      <c r="Z627" s="153">
        <v>144048</v>
      </c>
    </row>
    <row r="628" spans="1:26" ht="18" hidden="1" customHeight="1" x14ac:dyDescent="0.2">
      <c r="A628" s="47">
        <f t="shared" si="128"/>
        <v>43479</v>
      </c>
      <c r="B628" s="47" t="s">
        <v>96</v>
      </c>
      <c r="C628" s="48">
        <f t="shared" si="133"/>
        <v>1781</v>
      </c>
      <c r="D628" s="99">
        <f t="shared" si="122"/>
        <v>2448</v>
      </c>
      <c r="E628" s="45">
        <f t="shared" si="123"/>
        <v>1280.0000000000873</v>
      </c>
      <c r="F628" s="45">
        <f t="shared" si="134"/>
        <v>117</v>
      </c>
      <c r="G628" s="79">
        <f t="shared" si="135"/>
        <v>5626.0000000000873</v>
      </c>
      <c r="H628" s="199">
        <v>3921</v>
      </c>
      <c r="I628" s="199">
        <v>966</v>
      </c>
      <c r="J628" s="200">
        <f t="shared" si="129"/>
        <v>4887</v>
      </c>
      <c r="K628" s="201">
        <f t="shared" si="130"/>
        <v>-739.00000000008731</v>
      </c>
      <c r="L628" s="43"/>
      <c r="N628" s="112">
        <v>125087</v>
      </c>
      <c r="O628" s="112">
        <v>74632</v>
      </c>
      <c r="P628" s="112">
        <v>5339</v>
      </c>
      <c r="Q628" s="112"/>
      <c r="R628" s="112">
        <v>26855</v>
      </c>
      <c r="S628" s="113">
        <v>4920.8999999999996</v>
      </c>
      <c r="T628" s="113"/>
      <c r="U628" s="113"/>
      <c r="V628" s="112">
        <v>187536</v>
      </c>
      <c r="W628" s="112">
        <v>108787</v>
      </c>
      <c r="X628" s="112">
        <v>79413</v>
      </c>
      <c r="Y628" s="112">
        <v>92778</v>
      </c>
      <c r="Z628" s="112">
        <v>144377</v>
      </c>
    </row>
    <row r="629" spans="1:26" ht="18" hidden="1" customHeight="1" x14ac:dyDescent="0.2">
      <c r="A629" s="47">
        <f t="shared" si="128"/>
        <v>43480</v>
      </c>
      <c r="B629" s="47" t="s">
        <v>97</v>
      </c>
      <c r="C629" s="48">
        <f t="shared" si="133"/>
        <v>1937</v>
      </c>
      <c r="D629" s="99">
        <f t="shared" si="122"/>
        <v>1776</v>
      </c>
      <c r="E629" s="45">
        <f t="shared" si="123"/>
        <v>1114.9999999999345</v>
      </c>
      <c r="F629" s="45">
        <f t="shared" si="134"/>
        <v>137</v>
      </c>
      <c r="G629" s="79">
        <f t="shared" si="135"/>
        <v>4964.9999999999345</v>
      </c>
      <c r="H629" s="199">
        <v>4073</v>
      </c>
      <c r="I629" s="199">
        <v>982</v>
      </c>
      <c r="J629" s="200">
        <f t="shared" si="129"/>
        <v>5055</v>
      </c>
      <c r="K629" s="201">
        <f t="shared" si="130"/>
        <v>90.000000000065484</v>
      </c>
      <c r="L629" s="43"/>
      <c r="N629" s="112">
        <v>125387</v>
      </c>
      <c r="O629" s="112">
        <v>74711</v>
      </c>
      <c r="P629" s="112">
        <v>5345</v>
      </c>
      <c r="Q629" s="112"/>
      <c r="R629" s="112">
        <v>26911</v>
      </c>
      <c r="S629" s="113">
        <v>4931.1000000000004</v>
      </c>
      <c r="T629" s="113"/>
      <c r="U629" s="113"/>
      <c r="V629" s="112">
        <v>187725</v>
      </c>
      <c r="W629" s="112">
        <v>108815</v>
      </c>
      <c r="X629" s="112">
        <v>79471</v>
      </c>
      <c r="Y629" s="112">
        <v>92778</v>
      </c>
      <c r="Z629" s="112">
        <v>144494</v>
      </c>
    </row>
    <row r="630" spans="1:26" ht="18" hidden="1" customHeight="1" x14ac:dyDescent="0.2">
      <c r="A630" s="47">
        <f t="shared" si="128"/>
        <v>43481</v>
      </c>
      <c r="B630" s="47" t="s">
        <v>98</v>
      </c>
      <c r="C630" s="48">
        <f t="shared" ref="C630:C635" si="136">(V631-V630)*1+(W631-W630)*32+(X631-X630)*12+(Y631-Y630)*6</f>
        <v>2376</v>
      </c>
      <c r="D630" s="99">
        <f t="shared" si="122"/>
        <v>936</v>
      </c>
      <c r="E630" s="45">
        <f t="shared" si="123"/>
        <v>1055.0000000000437</v>
      </c>
      <c r="F630" s="45">
        <f t="shared" ref="F630:F635" si="137">(Z631-Z630)*1</f>
        <v>114</v>
      </c>
      <c r="G630" s="79">
        <f t="shared" ref="G630:G635" si="138">C630+D630+F630+E630</f>
        <v>4481.0000000000437</v>
      </c>
      <c r="H630" s="199">
        <v>4350</v>
      </c>
      <c r="I630" s="199">
        <v>1035</v>
      </c>
      <c r="J630" s="200">
        <f t="shared" si="129"/>
        <v>5385</v>
      </c>
      <c r="K630" s="201">
        <f t="shared" si="130"/>
        <v>903.99999999995634</v>
      </c>
      <c r="L630" s="43"/>
      <c r="N630" s="112">
        <v>125597</v>
      </c>
      <c r="O630" s="112">
        <v>74787</v>
      </c>
      <c r="P630" s="112">
        <v>5357</v>
      </c>
      <c r="Q630" s="112"/>
      <c r="R630" s="112">
        <v>26934</v>
      </c>
      <c r="S630" s="113">
        <v>4940.2</v>
      </c>
      <c r="T630" s="113"/>
      <c r="U630" s="113"/>
      <c r="V630" s="112">
        <v>187894</v>
      </c>
      <c r="W630" s="112">
        <v>108844</v>
      </c>
      <c r="X630" s="112">
        <v>79541</v>
      </c>
      <c r="Y630" s="112">
        <v>92778</v>
      </c>
      <c r="Z630" s="112">
        <v>144631</v>
      </c>
    </row>
    <row r="631" spans="1:26" ht="18" hidden="1" customHeight="1" x14ac:dyDescent="0.2">
      <c r="A631" s="47">
        <f t="shared" si="128"/>
        <v>43482</v>
      </c>
      <c r="B631" s="47" t="s">
        <v>99</v>
      </c>
      <c r="C631" s="48">
        <f t="shared" si="136"/>
        <v>1713</v>
      </c>
      <c r="D631" s="99">
        <f t="shared" si="122"/>
        <v>936</v>
      </c>
      <c r="E631" s="45">
        <f t="shared" si="123"/>
        <v>1054.9999999999345</v>
      </c>
      <c r="F631" s="45">
        <f t="shared" si="137"/>
        <v>141</v>
      </c>
      <c r="G631" s="79">
        <f t="shared" si="138"/>
        <v>3844.9999999999345</v>
      </c>
      <c r="H631" s="199">
        <v>3798</v>
      </c>
      <c r="I631" s="199">
        <v>1017</v>
      </c>
      <c r="J631" s="200">
        <f t="shared" si="129"/>
        <v>4815</v>
      </c>
      <c r="K631" s="201">
        <f t="shared" si="130"/>
        <v>970.00000000006548</v>
      </c>
      <c r="L631" s="43"/>
      <c r="N631" s="112">
        <v>125707</v>
      </c>
      <c r="O631" s="112">
        <v>74867</v>
      </c>
      <c r="P631" s="112">
        <v>5364</v>
      </c>
      <c r="Q631" s="112"/>
      <c r="R631" s="112">
        <v>26957</v>
      </c>
      <c r="S631" s="113">
        <v>4948.8</v>
      </c>
      <c r="T631" s="113"/>
      <c r="U631" s="113"/>
      <c r="V631" s="112">
        <v>188082</v>
      </c>
      <c r="W631" s="112">
        <v>108879</v>
      </c>
      <c r="X631" s="112">
        <v>79630</v>
      </c>
      <c r="Y631" s="112">
        <v>92778</v>
      </c>
      <c r="Z631" s="112">
        <v>144745</v>
      </c>
    </row>
    <row r="632" spans="1:26" ht="18" hidden="1" customHeight="1" x14ac:dyDescent="0.2">
      <c r="A632" s="47">
        <f t="shared" si="128"/>
        <v>43483</v>
      </c>
      <c r="B632" s="47" t="s">
        <v>100</v>
      </c>
      <c r="C632" s="48">
        <f t="shared" si="136"/>
        <v>0</v>
      </c>
      <c r="D632" s="99">
        <f t="shared" si="122"/>
        <v>0</v>
      </c>
      <c r="E632" s="45">
        <f t="shared" si="123"/>
        <v>0</v>
      </c>
      <c r="F632" s="45">
        <f t="shared" si="137"/>
        <v>0</v>
      </c>
      <c r="G632" s="79">
        <f t="shared" si="138"/>
        <v>0</v>
      </c>
      <c r="H632" s="199">
        <v>3823</v>
      </c>
      <c r="I632" s="199">
        <v>1018</v>
      </c>
      <c r="J632" s="200">
        <f t="shared" si="129"/>
        <v>4841</v>
      </c>
      <c r="K632" s="201">
        <f t="shared" si="130"/>
        <v>4841</v>
      </c>
      <c r="L632" s="43"/>
      <c r="N632" s="112">
        <v>125817</v>
      </c>
      <c r="O632" s="112">
        <v>74947</v>
      </c>
      <c r="P632" s="112">
        <v>5371</v>
      </c>
      <c r="Q632" s="112"/>
      <c r="R632" s="112">
        <v>26980</v>
      </c>
      <c r="S632" s="113">
        <v>4957.3999999999996</v>
      </c>
      <c r="T632" s="113"/>
      <c r="U632" s="113"/>
      <c r="V632" s="112">
        <v>188251</v>
      </c>
      <c r="W632" s="112">
        <v>108904</v>
      </c>
      <c r="X632" s="112">
        <v>79692</v>
      </c>
      <c r="Y632" s="112">
        <v>92778</v>
      </c>
      <c r="Z632" s="112">
        <v>144886</v>
      </c>
    </row>
    <row r="633" spans="1:26" ht="18" hidden="1" customHeight="1" x14ac:dyDescent="0.2">
      <c r="A633" s="47">
        <f t="shared" si="128"/>
        <v>43484</v>
      </c>
      <c r="B633" s="47" t="s">
        <v>101</v>
      </c>
      <c r="C633" s="48">
        <f t="shared" si="136"/>
        <v>0</v>
      </c>
      <c r="D633" s="99">
        <f t="shared" si="122"/>
        <v>0</v>
      </c>
      <c r="E633" s="45">
        <f t="shared" si="123"/>
        <v>0</v>
      </c>
      <c r="F633" s="45">
        <f t="shared" si="137"/>
        <v>0</v>
      </c>
      <c r="G633" s="79">
        <f t="shared" si="138"/>
        <v>0</v>
      </c>
      <c r="H633" s="199">
        <v>0</v>
      </c>
      <c r="I633" s="199">
        <v>3508</v>
      </c>
      <c r="J633" s="200">
        <f t="shared" si="129"/>
        <v>3508</v>
      </c>
      <c r="K633" s="201">
        <f t="shared" si="130"/>
        <v>3508</v>
      </c>
      <c r="L633" s="43"/>
      <c r="N633" s="153">
        <v>125817</v>
      </c>
      <c r="O633" s="153">
        <v>74947</v>
      </c>
      <c r="P633" s="153">
        <v>5371</v>
      </c>
      <c r="Q633" s="153"/>
      <c r="R633" s="153">
        <v>26980</v>
      </c>
      <c r="S633" s="154">
        <v>4957.3999999999996</v>
      </c>
      <c r="T633" s="154"/>
      <c r="U633" s="154"/>
      <c r="V633" s="153">
        <v>188251</v>
      </c>
      <c r="W633" s="153">
        <v>108904</v>
      </c>
      <c r="X633" s="153">
        <v>79692</v>
      </c>
      <c r="Y633" s="153">
        <v>92778</v>
      </c>
      <c r="Z633" s="153">
        <v>144886</v>
      </c>
    </row>
    <row r="634" spans="1:26" ht="18" hidden="1" customHeight="1" x14ac:dyDescent="0.2">
      <c r="A634" s="47">
        <f t="shared" si="128"/>
        <v>43485</v>
      </c>
      <c r="B634" s="47" t="s">
        <v>95</v>
      </c>
      <c r="C634" s="48">
        <f t="shared" si="136"/>
        <v>3011</v>
      </c>
      <c r="D634" s="99">
        <f t="shared" si="122"/>
        <v>5720</v>
      </c>
      <c r="E634" s="45">
        <f t="shared" si="123"/>
        <v>3323.0000000000437</v>
      </c>
      <c r="F634" s="45">
        <f t="shared" si="137"/>
        <v>372</v>
      </c>
      <c r="G634" s="79">
        <f t="shared" si="138"/>
        <v>12426.000000000044</v>
      </c>
      <c r="H634" s="199">
        <v>0</v>
      </c>
      <c r="I634" s="199">
        <v>3549</v>
      </c>
      <c r="J634" s="200">
        <f t="shared" si="129"/>
        <v>3549</v>
      </c>
      <c r="K634" s="201">
        <f t="shared" si="130"/>
        <v>-8877.0000000000437</v>
      </c>
      <c r="L634" s="43"/>
      <c r="N634" s="153">
        <v>125817</v>
      </c>
      <c r="O634" s="153">
        <v>74947</v>
      </c>
      <c r="P634" s="153">
        <v>5371</v>
      </c>
      <c r="Q634" s="153"/>
      <c r="R634" s="153">
        <v>26980</v>
      </c>
      <c r="S634" s="154">
        <v>4957.3999999999996</v>
      </c>
      <c r="T634" s="154"/>
      <c r="U634" s="154"/>
      <c r="V634" s="153">
        <v>188251</v>
      </c>
      <c r="W634" s="153">
        <v>108904</v>
      </c>
      <c r="X634" s="153">
        <v>79692</v>
      </c>
      <c r="Y634" s="153">
        <v>92778</v>
      </c>
      <c r="Z634" s="153">
        <v>144886</v>
      </c>
    </row>
    <row r="635" spans="1:26" ht="18" hidden="1" customHeight="1" x14ac:dyDescent="0.2">
      <c r="A635" s="47">
        <f t="shared" si="128"/>
        <v>43486</v>
      </c>
      <c r="B635" s="47" t="s">
        <v>96</v>
      </c>
      <c r="C635" s="48">
        <f t="shared" si="136"/>
        <v>1866</v>
      </c>
      <c r="D635" s="99">
        <f t="shared" si="122"/>
        <v>1656</v>
      </c>
      <c r="E635" s="45">
        <f t="shared" si="123"/>
        <v>1103</v>
      </c>
      <c r="F635" s="45">
        <f t="shared" si="137"/>
        <v>142</v>
      </c>
      <c r="G635" s="79">
        <f t="shared" si="138"/>
        <v>4767</v>
      </c>
      <c r="H635" s="199">
        <v>4168</v>
      </c>
      <c r="I635" s="199">
        <v>1029</v>
      </c>
      <c r="J635" s="200">
        <f t="shared" si="129"/>
        <v>5197</v>
      </c>
      <c r="K635" s="201">
        <f t="shared" si="130"/>
        <v>430</v>
      </c>
      <c r="L635" s="43"/>
      <c r="N635" s="208">
        <v>126507</v>
      </c>
      <c r="O635" s="112">
        <v>75183</v>
      </c>
      <c r="P635" s="112">
        <v>5396</v>
      </c>
      <c r="Q635" s="112"/>
      <c r="R635" s="112">
        <v>27051</v>
      </c>
      <c r="S635" s="113">
        <v>4984.5</v>
      </c>
      <c r="T635" s="113"/>
      <c r="U635" s="113"/>
      <c r="V635" s="112">
        <v>188530</v>
      </c>
      <c r="W635" s="112">
        <v>108953</v>
      </c>
      <c r="X635" s="112">
        <v>79789</v>
      </c>
      <c r="Y635" s="112">
        <v>92778</v>
      </c>
      <c r="Z635" s="112">
        <v>145258</v>
      </c>
    </row>
    <row r="636" spans="1:26" ht="18" hidden="1" customHeight="1" x14ac:dyDescent="0.2">
      <c r="A636" s="47">
        <f t="shared" si="128"/>
        <v>43487</v>
      </c>
      <c r="B636" s="47" t="s">
        <v>97</v>
      </c>
      <c r="C636" s="48">
        <f t="shared" ref="C636:C641" si="139">(V637-V636)*1+(W637-W636)*32+(X637-X636)*12+(Y637-Y636)*6</f>
        <v>2111</v>
      </c>
      <c r="D636" s="99">
        <f t="shared" si="122"/>
        <v>1672</v>
      </c>
      <c r="E636" s="45">
        <f t="shared" si="123"/>
        <v>984</v>
      </c>
      <c r="F636" s="45">
        <f t="shared" ref="F636:F641" si="140">(Z637-Z636)*1</f>
        <v>131</v>
      </c>
      <c r="G636" s="79">
        <f t="shared" ref="G636:G641" si="141">C636+D636+F636+E636</f>
        <v>4898</v>
      </c>
      <c r="H636" s="199">
        <v>4023</v>
      </c>
      <c r="I636" s="199">
        <v>990</v>
      </c>
      <c r="J636" s="200">
        <f t="shared" si="129"/>
        <v>5013</v>
      </c>
      <c r="K636" s="201">
        <f t="shared" si="130"/>
        <v>115</v>
      </c>
      <c r="L636" s="43"/>
      <c r="N636" s="208">
        <v>126707</v>
      </c>
      <c r="O636" s="112">
        <v>75259</v>
      </c>
      <c r="P636" s="112">
        <v>5403</v>
      </c>
      <c r="Q636" s="112"/>
      <c r="R636" s="112">
        <v>27074</v>
      </c>
      <c r="S636" s="113">
        <v>4993.5</v>
      </c>
      <c r="T636" s="113"/>
      <c r="U636" s="113"/>
      <c r="V636" s="112">
        <v>188844</v>
      </c>
      <c r="W636" s="112">
        <v>108982</v>
      </c>
      <c r="X636" s="112">
        <v>79841</v>
      </c>
      <c r="Y636" s="112">
        <v>92778</v>
      </c>
      <c r="Z636" s="112">
        <v>145400</v>
      </c>
    </row>
    <row r="637" spans="1:26" ht="18" hidden="1" customHeight="1" x14ac:dyDescent="0.2">
      <c r="A637" s="47">
        <f t="shared" si="128"/>
        <v>43488</v>
      </c>
      <c r="B637" s="47" t="s">
        <v>98</v>
      </c>
      <c r="C637" s="48">
        <f t="shared" si="139"/>
        <v>2402</v>
      </c>
      <c r="D637" s="99">
        <f t="shared" si="122"/>
        <v>1840</v>
      </c>
      <c r="E637" s="45">
        <f t="shared" si="123"/>
        <v>1055.0000000000437</v>
      </c>
      <c r="F637" s="45">
        <f t="shared" si="140"/>
        <v>136</v>
      </c>
      <c r="G637" s="79">
        <f t="shared" si="141"/>
        <v>5433.0000000000437</v>
      </c>
      <c r="H637" s="199">
        <v>4323</v>
      </c>
      <c r="I637" s="199">
        <v>1016</v>
      </c>
      <c r="J637" s="200">
        <f t="shared" si="129"/>
        <v>5339</v>
      </c>
      <c r="K637" s="201">
        <f t="shared" si="130"/>
        <v>-94.000000000043656</v>
      </c>
      <c r="L637" s="43"/>
      <c r="N637" s="208">
        <v>126907</v>
      </c>
      <c r="O637" s="112">
        <v>75335</v>
      </c>
      <c r="P637" s="112">
        <v>5412</v>
      </c>
      <c r="Q637" s="112"/>
      <c r="R637" s="112">
        <v>27098</v>
      </c>
      <c r="S637" s="113">
        <v>5001.5</v>
      </c>
      <c r="T637" s="113"/>
      <c r="U637" s="113"/>
      <c r="V637" s="112">
        <v>189027</v>
      </c>
      <c r="W637" s="112">
        <v>109010</v>
      </c>
      <c r="X637" s="112">
        <v>79927</v>
      </c>
      <c r="Y637" s="112">
        <v>92778</v>
      </c>
      <c r="Z637" s="112">
        <v>145531</v>
      </c>
    </row>
    <row r="638" spans="1:26" ht="18" hidden="1" customHeight="1" x14ac:dyDescent="0.2">
      <c r="A638" s="47">
        <f t="shared" si="128"/>
        <v>43489</v>
      </c>
      <c r="B638" s="47" t="s">
        <v>99</v>
      </c>
      <c r="C638" s="48">
        <f t="shared" si="139"/>
        <v>2337</v>
      </c>
      <c r="D638" s="99">
        <f t="shared" si="122"/>
        <v>1552</v>
      </c>
      <c r="E638" s="45">
        <f t="shared" si="123"/>
        <v>1031.9999999999563</v>
      </c>
      <c r="F638" s="45">
        <f t="shared" si="140"/>
        <v>147</v>
      </c>
      <c r="G638" s="79">
        <f t="shared" si="141"/>
        <v>5067.9999999999563</v>
      </c>
      <c r="H638" s="199">
        <v>4111</v>
      </c>
      <c r="I638" s="199">
        <v>968</v>
      </c>
      <c r="J638" s="200">
        <f t="shared" si="129"/>
        <v>5079</v>
      </c>
      <c r="K638" s="201">
        <f t="shared" si="130"/>
        <v>11.000000000043656</v>
      </c>
      <c r="L638" s="43"/>
      <c r="N638" s="112">
        <v>127127</v>
      </c>
      <c r="O638" s="112">
        <v>75414</v>
      </c>
      <c r="P638" s="112">
        <v>5422</v>
      </c>
      <c r="Q638" s="112"/>
      <c r="R638" s="112">
        <v>27121</v>
      </c>
      <c r="S638" s="113">
        <v>5010.1000000000004</v>
      </c>
      <c r="T638" s="113"/>
      <c r="U638" s="113"/>
      <c r="V638" s="112">
        <v>189217</v>
      </c>
      <c r="W638" s="112">
        <v>109048</v>
      </c>
      <c r="X638" s="112">
        <v>80010</v>
      </c>
      <c r="Y638" s="112">
        <v>92778</v>
      </c>
      <c r="Z638" s="112">
        <v>145667</v>
      </c>
    </row>
    <row r="639" spans="1:26" ht="18" hidden="1" customHeight="1" x14ac:dyDescent="0.2">
      <c r="A639" s="47">
        <f t="shared" si="128"/>
        <v>43490</v>
      </c>
      <c r="B639" s="47" t="s">
        <v>100</v>
      </c>
      <c r="C639" s="48">
        <f t="shared" si="139"/>
        <v>0</v>
      </c>
      <c r="D639" s="99">
        <f t="shared" si="122"/>
        <v>0</v>
      </c>
      <c r="E639" s="45">
        <f t="shared" si="123"/>
        <v>0</v>
      </c>
      <c r="F639" s="45">
        <f t="shared" si="140"/>
        <v>0</v>
      </c>
      <c r="G639" s="79">
        <f t="shared" si="141"/>
        <v>0</v>
      </c>
      <c r="H639" s="199">
        <v>4269</v>
      </c>
      <c r="I639" s="199">
        <v>946</v>
      </c>
      <c r="J639" s="200">
        <f t="shared" si="129"/>
        <v>5215</v>
      </c>
      <c r="K639" s="201">
        <f t="shared" si="130"/>
        <v>5215</v>
      </c>
      <c r="L639" s="43"/>
      <c r="N639" s="112">
        <v>127317</v>
      </c>
      <c r="O639" s="112">
        <v>75486</v>
      </c>
      <c r="P639" s="112">
        <v>5426</v>
      </c>
      <c r="Q639" s="112"/>
      <c r="R639" s="112">
        <v>27145</v>
      </c>
      <c r="S639" s="113">
        <v>5018.5</v>
      </c>
      <c r="T639" s="113"/>
      <c r="U639" s="113"/>
      <c r="V639" s="112">
        <v>189406</v>
      </c>
      <c r="W639" s="112">
        <v>109081</v>
      </c>
      <c r="X639" s="112">
        <v>80101</v>
      </c>
      <c r="Y639" s="112">
        <v>92778</v>
      </c>
      <c r="Z639" s="112">
        <v>145814</v>
      </c>
    </row>
    <row r="640" spans="1:26" ht="18" hidden="1" customHeight="1" x14ac:dyDescent="0.2">
      <c r="A640" s="47">
        <f t="shared" si="128"/>
        <v>43491</v>
      </c>
      <c r="B640" s="47" t="s">
        <v>101</v>
      </c>
      <c r="C640" s="48">
        <f t="shared" si="139"/>
        <v>0</v>
      </c>
      <c r="D640" s="99">
        <f t="shared" si="122"/>
        <v>0</v>
      </c>
      <c r="E640" s="45">
        <f t="shared" si="123"/>
        <v>0</v>
      </c>
      <c r="F640" s="45">
        <f t="shared" si="140"/>
        <v>0</v>
      </c>
      <c r="G640" s="79">
        <f t="shared" si="141"/>
        <v>0</v>
      </c>
      <c r="H640" s="199">
        <v>0</v>
      </c>
      <c r="I640" s="199">
        <v>3683</v>
      </c>
      <c r="J640" s="200">
        <f t="shared" si="129"/>
        <v>3683</v>
      </c>
      <c r="K640" s="201">
        <f t="shared" si="130"/>
        <v>3683</v>
      </c>
      <c r="L640" s="43"/>
      <c r="N640" s="153">
        <v>127317</v>
      </c>
      <c r="O640" s="153">
        <v>75486</v>
      </c>
      <c r="P640" s="153">
        <v>5426</v>
      </c>
      <c r="Q640" s="153"/>
      <c r="R640" s="153">
        <v>27145</v>
      </c>
      <c r="S640" s="154">
        <v>5018.5</v>
      </c>
      <c r="T640" s="154"/>
      <c r="U640" s="154"/>
      <c r="V640" s="153">
        <v>189406</v>
      </c>
      <c r="W640" s="153">
        <v>109081</v>
      </c>
      <c r="X640" s="153">
        <v>80101</v>
      </c>
      <c r="Y640" s="153">
        <v>92778</v>
      </c>
      <c r="Z640" s="153">
        <v>145814</v>
      </c>
    </row>
    <row r="641" spans="1:26" ht="18" hidden="1" customHeight="1" x14ac:dyDescent="0.2">
      <c r="A641" s="47">
        <f t="shared" si="128"/>
        <v>43492</v>
      </c>
      <c r="B641" s="47" t="s">
        <v>95</v>
      </c>
      <c r="C641" s="48">
        <f t="shared" si="139"/>
        <v>3223</v>
      </c>
      <c r="D641" s="99">
        <f t="shared" si="122"/>
        <v>4592</v>
      </c>
      <c r="E641" s="45">
        <f t="shared" si="123"/>
        <v>4176.9999999999782</v>
      </c>
      <c r="F641" s="45">
        <f t="shared" si="140"/>
        <v>428</v>
      </c>
      <c r="G641" s="79">
        <f t="shared" si="141"/>
        <v>12419.999999999978</v>
      </c>
      <c r="H641" s="199">
        <v>0</v>
      </c>
      <c r="I641" s="199">
        <v>3703</v>
      </c>
      <c r="J641" s="200">
        <f t="shared" si="129"/>
        <v>3703</v>
      </c>
      <c r="K641" s="201">
        <f t="shared" si="130"/>
        <v>-8716.9999999999782</v>
      </c>
      <c r="L641" s="43"/>
      <c r="N641" s="153">
        <v>127317</v>
      </c>
      <c r="O641" s="153">
        <v>75486</v>
      </c>
      <c r="P641" s="153">
        <v>5426</v>
      </c>
      <c r="Q641" s="153"/>
      <c r="R641" s="153">
        <v>27145</v>
      </c>
      <c r="S641" s="154">
        <v>5018.5</v>
      </c>
      <c r="T641" s="154"/>
      <c r="U641" s="154"/>
      <c r="V641" s="153">
        <v>189406</v>
      </c>
      <c r="W641" s="153">
        <v>109081</v>
      </c>
      <c r="X641" s="153">
        <v>80101</v>
      </c>
      <c r="Y641" s="153">
        <v>92778</v>
      </c>
      <c r="Z641" s="153">
        <v>145814</v>
      </c>
    </row>
    <row r="642" spans="1:26" ht="18" hidden="1" customHeight="1" x14ac:dyDescent="0.2">
      <c r="A642" s="47">
        <f t="shared" si="128"/>
        <v>43493</v>
      </c>
      <c r="B642" s="47" t="s">
        <v>96</v>
      </c>
      <c r="C642" s="48">
        <f>(V643-V642)*1+(W643-W642)*32+(X643-X642)*12+(Y643-Y642)*6</f>
        <v>2119</v>
      </c>
      <c r="D642" s="99">
        <f t="shared" si="122"/>
        <v>1432</v>
      </c>
      <c r="E642" s="45">
        <f t="shared" si="123"/>
        <v>1344</v>
      </c>
      <c r="F642" s="45">
        <f>(Z643-Z642)*1</f>
        <v>124</v>
      </c>
      <c r="G642" s="79">
        <f>C642+D642+F642+E642</f>
        <v>5019</v>
      </c>
      <c r="H642" s="199">
        <v>4279</v>
      </c>
      <c r="I642" s="199">
        <v>1042</v>
      </c>
      <c r="J642" s="200">
        <f t="shared" si="129"/>
        <v>5321</v>
      </c>
      <c r="K642" s="201">
        <f t="shared" si="130"/>
        <v>302</v>
      </c>
      <c r="L642" s="43"/>
      <c r="N642" s="112">
        <v>127867</v>
      </c>
      <c r="O642" s="112">
        <v>75691</v>
      </c>
      <c r="P642" s="112">
        <v>5450</v>
      </c>
      <c r="Q642" s="112"/>
      <c r="R642" s="112">
        <v>27218</v>
      </c>
      <c r="S642" s="113">
        <v>5052.7</v>
      </c>
      <c r="T642" s="113"/>
      <c r="U642" s="113"/>
      <c r="V642" s="112">
        <v>189949</v>
      </c>
      <c r="W642" s="112">
        <v>109131</v>
      </c>
      <c r="X642" s="112">
        <v>80191</v>
      </c>
      <c r="Y642" s="112">
        <v>92778</v>
      </c>
      <c r="Z642" s="112">
        <v>146242</v>
      </c>
    </row>
    <row r="643" spans="1:26" ht="18" hidden="1" customHeight="1" x14ac:dyDescent="0.2">
      <c r="A643" s="47">
        <f t="shared" si="128"/>
        <v>43494</v>
      </c>
      <c r="B643" s="47" t="s">
        <v>97</v>
      </c>
      <c r="C643" s="48">
        <f>(V644-V643)*1+(W644-W643)*32+(X644-X643)*12+(Y644-Y643)*6</f>
        <v>2121</v>
      </c>
      <c r="D643" s="99">
        <f t="shared" si="122"/>
        <v>1656</v>
      </c>
      <c r="E643" s="45">
        <f t="shared" si="123"/>
        <v>1018.0000000000218</v>
      </c>
      <c r="F643" s="45">
        <f>(Z644-Z643)*1</f>
        <v>133</v>
      </c>
      <c r="G643" s="79">
        <f>C643+D643+F643+E643</f>
        <v>4928.0000000000218</v>
      </c>
      <c r="H643" s="199">
        <v>4055</v>
      </c>
      <c r="I643" s="199">
        <v>952</v>
      </c>
      <c r="J643" s="200">
        <f t="shared" si="129"/>
        <v>5007</v>
      </c>
      <c r="K643" s="201">
        <f t="shared" si="130"/>
        <v>78.999999999978172</v>
      </c>
      <c r="L643" s="43"/>
      <c r="N643" s="112">
        <v>128037</v>
      </c>
      <c r="O643" s="112">
        <v>75761</v>
      </c>
      <c r="P643" s="112">
        <v>5459</v>
      </c>
      <c r="Q643" s="112"/>
      <c r="R643" s="112">
        <v>27242</v>
      </c>
      <c r="S643" s="113">
        <v>5063.7</v>
      </c>
      <c r="T643" s="113"/>
      <c r="U643" s="113"/>
      <c r="V643" s="112">
        <v>190160</v>
      </c>
      <c r="W643" s="112">
        <v>109161</v>
      </c>
      <c r="X643" s="112">
        <v>80270</v>
      </c>
      <c r="Y643" s="112">
        <v>92778</v>
      </c>
      <c r="Z643" s="112">
        <v>146366</v>
      </c>
    </row>
    <row r="644" spans="1:26" ht="18" hidden="1" customHeight="1" x14ac:dyDescent="0.2">
      <c r="A644" s="47">
        <f t="shared" si="128"/>
        <v>43495</v>
      </c>
      <c r="B644" s="47" t="s">
        <v>98</v>
      </c>
      <c r="C644" s="48">
        <f>(V645-V644)*1+(W645-W644)*32+(X645-X644)*12+(Y645-Y644)*6</f>
        <v>2209</v>
      </c>
      <c r="D644" s="99">
        <f t="shared" si="122"/>
        <v>1592</v>
      </c>
      <c r="E644" s="45">
        <f t="shared" si="123"/>
        <v>1057.0000000000437</v>
      </c>
      <c r="F644" s="45">
        <f>(Z645-Z644)*1</f>
        <v>109</v>
      </c>
      <c r="G644" s="79">
        <f>C644+D644+F644+E644</f>
        <v>4967.0000000000437</v>
      </c>
      <c r="H644" s="199">
        <v>4173</v>
      </c>
      <c r="I644" s="199">
        <v>957</v>
      </c>
      <c r="J644" s="200">
        <f t="shared" si="129"/>
        <v>5130</v>
      </c>
      <c r="K644" s="201">
        <f t="shared" si="130"/>
        <v>162.99999999995634</v>
      </c>
      <c r="L644" s="43"/>
      <c r="N644" s="112">
        <v>128237</v>
      </c>
      <c r="O644" s="112">
        <v>75833</v>
      </c>
      <c r="P644" s="112">
        <v>5466</v>
      </c>
      <c r="Q644" s="112"/>
      <c r="R644" s="112">
        <v>27264</v>
      </c>
      <c r="S644" s="113">
        <v>5072</v>
      </c>
      <c r="T644" s="113"/>
      <c r="U644" s="113"/>
      <c r="V644" s="112">
        <v>190337</v>
      </c>
      <c r="W644" s="112">
        <v>109191</v>
      </c>
      <c r="X644" s="112">
        <v>80352</v>
      </c>
      <c r="Y644" s="112">
        <v>92778</v>
      </c>
      <c r="Z644" s="112">
        <v>146499</v>
      </c>
    </row>
    <row r="645" spans="1:26" ht="18" hidden="1" customHeight="1" x14ac:dyDescent="0.2">
      <c r="A645" s="47">
        <f t="shared" si="128"/>
        <v>43496</v>
      </c>
      <c r="B645" s="47" t="s">
        <v>99</v>
      </c>
      <c r="C645" s="48">
        <f>(V646-V645)*1+(W646-W645)*32+(X646-X645)*12+(Y646-Y645)*6</f>
        <v>2068</v>
      </c>
      <c r="D645" s="99">
        <f t="shared" si="122"/>
        <v>1520</v>
      </c>
      <c r="E645" s="45">
        <f t="shared" si="123"/>
        <v>1174.9999999999345</v>
      </c>
      <c r="F645" s="45">
        <f>(Z646-Z645)*1</f>
        <v>99</v>
      </c>
      <c r="G645" s="79">
        <f>C645+D645+F645+E645</f>
        <v>4861.9999999999345</v>
      </c>
      <c r="H645" s="199">
        <v>4285</v>
      </c>
      <c r="I645" s="199">
        <v>941</v>
      </c>
      <c r="J645" s="200">
        <f t="shared" si="129"/>
        <v>5226</v>
      </c>
      <c r="K645" s="201">
        <f t="shared" si="130"/>
        <v>364.00000000006548</v>
      </c>
      <c r="L645" s="43"/>
      <c r="N645" s="112">
        <v>128427</v>
      </c>
      <c r="O645" s="112">
        <v>75906</v>
      </c>
      <c r="P645" s="112">
        <v>5475</v>
      </c>
      <c r="Q645" s="112"/>
      <c r="R645" s="112">
        <v>27289</v>
      </c>
      <c r="S645" s="113">
        <v>5080.6000000000004</v>
      </c>
      <c r="T645" s="113"/>
      <c r="U645" s="113"/>
      <c r="V645" s="112">
        <v>190542</v>
      </c>
      <c r="W645" s="112">
        <v>109224</v>
      </c>
      <c r="X645" s="112">
        <v>80431</v>
      </c>
      <c r="Y645" s="112">
        <v>92778</v>
      </c>
      <c r="Z645" s="112">
        <v>146608</v>
      </c>
    </row>
    <row r="646" spans="1:26" ht="18" hidden="1" customHeight="1" x14ac:dyDescent="0.2">
      <c r="A646" s="47">
        <f t="shared" si="128"/>
        <v>43497</v>
      </c>
      <c r="B646" s="47" t="s">
        <v>100</v>
      </c>
      <c r="C646" s="48">
        <f t="shared" ref="C646:C655" si="142">(V647-V646)*1+(W647-W646)*32+(X647-X646)*12+(Y647-Y646)*6</f>
        <v>0</v>
      </c>
      <c r="D646" s="99">
        <f t="shared" si="122"/>
        <v>0</v>
      </c>
      <c r="E646" s="45">
        <f t="shared" si="123"/>
        <v>0</v>
      </c>
      <c r="F646" s="45">
        <f t="shared" ref="F646:F655" si="143">(Z647-Z646)*1</f>
        <v>0</v>
      </c>
      <c r="G646" s="79">
        <f t="shared" ref="G646:G655" si="144">C646+D646+F646+E646</f>
        <v>0</v>
      </c>
      <c r="H646" s="199">
        <v>3451</v>
      </c>
      <c r="I646" s="199">
        <v>899</v>
      </c>
      <c r="J646" s="200">
        <f>H646+I646</f>
        <v>4350</v>
      </c>
      <c r="K646" s="201">
        <f t="shared" si="130"/>
        <v>4350</v>
      </c>
      <c r="L646" s="43"/>
      <c r="N646" s="112">
        <v>128607</v>
      </c>
      <c r="O646" s="112">
        <v>75973</v>
      </c>
      <c r="P646" s="112">
        <v>5485</v>
      </c>
      <c r="Q646" s="112"/>
      <c r="R646" s="112">
        <v>27312</v>
      </c>
      <c r="S646" s="113">
        <v>5090.2</v>
      </c>
      <c r="T646" s="113"/>
      <c r="U646" s="113"/>
      <c r="V646" s="112">
        <v>190758</v>
      </c>
      <c r="W646" s="112">
        <v>109256</v>
      </c>
      <c r="X646" s="112">
        <v>80500</v>
      </c>
      <c r="Y646" s="112">
        <v>92778</v>
      </c>
      <c r="Z646" s="112">
        <v>146707</v>
      </c>
    </row>
    <row r="647" spans="1:26" ht="18" hidden="1" customHeight="1" x14ac:dyDescent="0.2">
      <c r="A647" s="47">
        <f t="shared" si="128"/>
        <v>43498</v>
      </c>
      <c r="B647" s="56" t="s">
        <v>103</v>
      </c>
      <c r="C647" s="48">
        <f t="shared" si="142"/>
        <v>0</v>
      </c>
      <c r="D647" s="99">
        <f t="shared" si="122"/>
        <v>0</v>
      </c>
      <c r="E647" s="45">
        <f t="shared" si="123"/>
        <v>0</v>
      </c>
      <c r="F647" s="45">
        <f t="shared" si="143"/>
        <v>0</v>
      </c>
      <c r="G647" s="79">
        <f t="shared" si="144"/>
        <v>0</v>
      </c>
      <c r="H647" s="199">
        <v>0</v>
      </c>
      <c r="I647" s="199">
        <v>2669</v>
      </c>
      <c r="J647" s="200">
        <f t="shared" ref="J647:J673" si="145">H647+I647</f>
        <v>2669</v>
      </c>
      <c r="K647" s="201">
        <f t="shared" si="130"/>
        <v>2669</v>
      </c>
      <c r="L647" s="43"/>
      <c r="N647" s="153">
        <v>128607</v>
      </c>
      <c r="O647" s="153">
        <v>75973</v>
      </c>
      <c r="P647" s="153">
        <v>5485</v>
      </c>
      <c r="Q647" s="153"/>
      <c r="R647" s="153">
        <v>27312</v>
      </c>
      <c r="S647" s="154">
        <v>5090.2</v>
      </c>
      <c r="T647" s="154"/>
      <c r="U647" s="154"/>
      <c r="V647" s="153">
        <v>190758</v>
      </c>
      <c r="W647" s="153">
        <v>109256</v>
      </c>
      <c r="X647" s="153">
        <v>80500</v>
      </c>
      <c r="Y647" s="153">
        <v>92778</v>
      </c>
      <c r="Z647" s="153">
        <v>146707</v>
      </c>
    </row>
    <row r="648" spans="1:26" ht="18" hidden="1" customHeight="1" x14ac:dyDescent="0.2">
      <c r="A648" s="47">
        <f t="shared" si="128"/>
        <v>43499</v>
      </c>
      <c r="B648" s="56" t="s">
        <v>104</v>
      </c>
      <c r="C648" s="48">
        <f t="shared" si="142"/>
        <v>0</v>
      </c>
      <c r="D648" s="99">
        <f t="shared" si="122"/>
        <v>0</v>
      </c>
      <c r="E648" s="45">
        <f t="shared" si="123"/>
        <v>0</v>
      </c>
      <c r="F648" s="45">
        <f t="shared" si="143"/>
        <v>0</v>
      </c>
      <c r="G648" s="79">
        <f t="shared" si="144"/>
        <v>0</v>
      </c>
      <c r="H648" s="199">
        <v>0</v>
      </c>
      <c r="I648" s="199">
        <v>2501</v>
      </c>
      <c r="J648" s="200">
        <f t="shared" si="145"/>
        <v>2501</v>
      </c>
      <c r="K648" s="201">
        <f t="shared" si="130"/>
        <v>2501</v>
      </c>
      <c r="L648" s="43"/>
      <c r="N648" s="153">
        <v>128607</v>
      </c>
      <c r="O648" s="153">
        <v>75973</v>
      </c>
      <c r="P648" s="153">
        <v>5485</v>
      </c>
      <c r="Q648" s="153"/>
      <c r="R648" s="153">
        <v>27312</v>
      </c>
      <c r="S648" s="154">
        <v>5090.2</v>
      </c>
      <c r="T648" s="154"/>
      <c r="U648" s="154"/>
      <c r="V648" s="153">
        <v>190758</v>
      </c>
      <c r="W648" s="153">
        <v>109256</v>
      </c>
      <c r="X648" s="153">
        <v>80500</v>
      </c>
      <c r="Y648" s="153">
        <v>92778</v>
      </c>
      <c r="Z648" s="153">
        <v>146707</v>
      </c>
    </row>
    <row r="649" spans="1:26" ht="18" hidden="1" customHeight="1" x14ac:dyDescent="0.2">
      <c r="A649" s="47">
        <f t="shared" si="128"/>
        <v>43500</v>
      </c>
      <c r="B649" s="47" t="s">
        <v>96</v>
      </c>
      <c r="C649" s="48">
        <f t="shared" si="142"/>
        <v>0</v>
      </c>
      <c r="D649" s="99">
        <f t="shared" si="122"/>
        <v>0</v>
      </c>
      <c r="E649" s="45">
        <f t="shared" si="123"/>
        <v>0</v>
      </c>
      <c r="F649" s="45">
        <f t="shared" si="143"/>
        <v>0</v>
      </c>
      <c r="G649" s="79">
        <f t="shared" si="144"/>
        <v>0</v>
      </c>
      <c r="H649" s="199">
        <v>0</v>
      </c>
      <c r="I649" s="199">
        <v>1557</v>
      </c>
      <c r="J649" s="200">
        <f t="shared" si="145"/>
        <v>1557</v>
      </c>
      <c r="K649" s="201">
        <f t="shared" si="130"/>
        <v>1557</v>
      </c>
      <c r="L649" s="43"/>
      <c r="N649" s="153">
        <v>128607</v>
      </c>
      <c r="O649" s="153">
        <v>75973</v>
      </c>
      <c r="P649" s="153">
        <v>5485</v>
      </c>
      <c r="Q649" s="153"/>
      <c r="R649" s="153">
        <v>27312</v>
      </c>
      <c r="S649" s="154">
        <v>5090.2</v>
      </c>
      <c r="T649" s="154"/>
      <c r="U649" s="154"/>
      <c r="V649" s="153">
        <v>190758</v>
      </c>
      <c r="W649" s="153">
        <v>109256</v>
      </c>
      <c r="X649" s="153">
        <v>80500</v>
      </c>
      <c r="Y649" s="153">
        <v>92778</v>
      </c>
      <c r="Z649" s="153">
        <v>146707</v>
      </c>
    </row>
    <row r="650" spans="1:26" ht="18" hidden="1" customHeight="1" x14ac:dyDescent="0.2">
      <c r="A650" s="47">
        <f t="shared" si="128"/>
        <v>43501</v>
      </c>
      <c r="B650" s="47" t="s">
        <v>97</v>
      </c>
      <c r="C650" s="48">
        <f t="shared" si="142"/>
        <v>0</v>
      </c>
      <c r="D650" s="99">
        <f t="shared" si="122"/>
        <v>0</v>
      </c>
      <c r="E650" s="45">
        <f t="shared" si="123"/>
        <v>0</v>
      </c>
      <c r="F650" s="45">
        <f t="shared" si="143"/>
        <v>0</v>
      </c>
      <c r="G650" s="79">
        <f t="shared" si="144"/>
        <v>0</v>
      </c>
      <c r="H650" s="199">
        <v>0</v>
      </c>
      <c r="I650" s="199">
        <v>1448</v>
      </c>
      <c r="J650" s="200">
        <f t="shared" si="145"/>
        <v>1448</v>
      </c>
      <c r="K650" s="201">
        <f t="shared" si="130"/>
        <v>1448</v>
      </c>
      <c r="L650" s="43"/>
      <c r="N650" s="153">
        <v>128607</v>
      </c>
      <c r="O650" s="153">
        <v>75973</v>
      </c>
      <c r="P650" s="153">
        <v>5485</v>
      </c>
      <c r="Q650" s="153"/>
      <c r="R650" s="153">
        <v>27312</v>
      </c>
      <c r="S650" s="154">
        <v>5090.2</v>
      </c>
      <c r="T650" s="154"/>
      <c r="U650" s="154"/>
      <c r="V650" s="153">
        <v>190758</v>
      </c>
      <c r="W650" s="153">
        <v>109256</v>
      </c>
      <c r="X650" s="153">
        <v>80500</v>
      </c>
      <c r="Y650" s="153">
        <v>92778</v>
      </c>
      <c r="Z650" s="153">
        <v>146707</v>
      </c>
    </row>
    <row r="651" spans="1:26" ht="18" hidden="1" customHeight="1" x14ac:dyDescent="0.2">
      <c r="A651" s="47">
        <f t="shared" si="128"/>
        <v>43502</v>
      </c>
      <c r="B651" s="47" t="s">
        <v>98</v>
      </c>
      <c r="C651" s="48">
        <f t="shared" si="142"/>
        <v>0</v>
      </c>
      <c r="D651" s="99">
        <f t="shared" si="122"/>
        <v>0</v>
      </c>
      <c r="E651" s="45">
        <f t="shared" si="123"/>
        <v>0</v>
      </c>
      <c r="F651" s="45">
        <f t="shared" si="143"/>
        <v>0</v>
      </c>
      <c r="G651" s="79">
        <f t="shared" si="144"/>
        <v>0</v>
      </c>
      <c r="H651" s="199">
        <v>0</v>
      </c>
      <c r="I651" s="199">
        <v>1526</v>
      </c>
      <c r="J651" s="200">
        <f t="shared" si="145"/>
        <v>1526</v>
      </c>
      <c r="K651" s="201">
        <f t="shared" si="130"/>
        <v>1526</v>
      </c>
      <c r="L651" s="43"/>
      <c r="N651" s="153">
        <v>128607</v>
      </c>
      <c r="O651" s="153">
        <v>75973</v>
      </c>
      <c r="P651" s="153">
        <v>5485</v>
      </c>
      <c r="Q651" s="153"/>
      <c r="R651" s="153">
        <v>27312</v>
      </c>
      <c r="S651" s="154">
        <v>5090.2</v>
      </c>
      <c r="T651" s="154"/>
      <c r="U651" s="154"/>
      <c r="V651" s="153">
        <v>190758</v>
      </c>
      <c r="W651" s="153">
        <v>109256</v>
      </c>
      <c r="X651" s="153">
        <v>80500</v>
      </c>
      <c r="Y651" s="153">
        <v>92778</v>
      </c>
      <c r="Z651" s="153">
        <v>146707</v>
      </c>
    </row>
    <row r="652" spans="1:26" ht="18" hidden="1" customHeight="1" x14ac:dyDescent="0.2">
      <c r="A652" s="47">
        <f t="shared" si="128"/>
        <v>43503</v>
      </c>
      <c r="B652" s="47" t="s">
        <v>99</v>
      </c>
      <c r="C652" s="48">
        <f t="shared" si="142"/>
        <v>0</v>
      </c>
      <c r="D652" s="99">
        <f t="shared" si="122"/>
        <v>0</v>
      </c>
      <c r="E652" s="45">
        <f t="shared" si="123"/>
        <v>0</v>
      </c>
      <c r="F652" s="45">
        <f t="shared" si="143"/>
        <v>0</v>
      </c>
      <c r="G652" s="79">
        <f t="shared" si="144"/>
        <v>0</v>
      </c>
      <c r="H652" s="199">
        <v>0</v>
      </c>
      <c r="I652" s="199">
        <v>1697</v>
      </c>
      <c r="J652" s="200">
        <f t="shared" si="145"/>
        <v>1697</v>
      </c>
      <c r="K652" s="201">
        <f t="shared" si="130"/>
        <v>1697</v>
      </c>
      <c r="L652" s="43"/>
      <c r="N652" s="153">
        <v>128607</v>
      </c>
      <c r="O652" s="153">
        <v>75973</v>
      </c>
      <c r="P652" s="153">
        <v>5485</v>
      </c>
      <c r="Q652" s="153"/>
      <c r="R652" s="153">
        <v>27312</v>
      </c>
      <c r="S652" s="154">
        <v>5090.2</v>
      </c>
      <c r="T652" s="154"/>
      <c r="U652" s="154"/>
      <c r="V652" s="153">
        <v>190758</v>
      </c>
      <c r="W652" s="153">
        <v>109256</v>
      </c>
      <c r="X652" s="153">
        <v>80500</v>
      </c>
      <c r="Y652" s="153">
        <v>92778</v>
      </c>
      <c r="Z652" s="153">
        <v>146707</v>
      </c>
    </row>
    <row r="653" spans="1:26" ht="18" hidden="1" customHeight="1" x14ac:dyDescent="0.2">
      <c r="A653" s="47">
        <f t="shared" si="128"/>
        <v>43504</v>
      </c>
      <c r="B653" s="47" t="s">
        <v>100</v>
      </c>
      <c r="C653" s="48">
        <f t="shared" si="142"/>
        <v>0</v>
      </c>
      <c r="D653" s="99">
        <f t="shared" si="122"/>
        <v>0</v>
      </c>
      <c r="E653" s="45">
        <f t="shared" si="123"/>
        <v>0</v>
      </c>
      <c r="F653" s="45">
        <f t="shared" si="143"/>
        <v>0</v>
      </c>
      <c r="G653" s="79">
        <f t="shared" si="144"/>
        <v>0</v>
      </c>
      <c r="H653" s="199">
        <v>0</v>
      </c>
      <c r="I653" s="199">
        <v>1799</v>
      </c>
      <c r="J653" s="200">
        <f t="shared" si="145"/>
        <v>1799</v>
      </c>
      <c r="K653" s="201">
        <f t="shared" si="130"/>
        <v>1799</v>
      </c>
      <c r="L653" s="43"/>
      <c r="N653" s="153">
        <v>128607</v>
      </c>
      <c r="O653" s="153">
        <v>75973</v>
      </c>
      <c r="P653" s="153">
        <v>5485</v>
      </c>
      <c r="Q653" s="153"/>
      <c r="R653" s="153">
        <v>27312</v>
      </c>
      <c r="S653" s="154">
        <v>5090.2</v>
      </c>
      <c r="T653" s="154"/>
      <c r="U653" s="154"/>
      <c r="V653" s="153">
        <v>190758</v>
      </c>
      <c r="W653" s="153">
        <v>109256</v>
      </c>
      <c r="X653" s="153">
        <v>80500</v>
      </c>
      <c r="Y653" s="153">
        <v>92778</v>
      </c>
      <c r="Z653" s="153">
        <v>146707</v>
      </c>
    </row>
    <row r="654" spans="1:26" ht="18" hidden="1" customHeight="1" x14ac:dyDescent="0.2">
      <c r="A654" s="47">
        <f t="shared" si="128"/>
        <v>43505</v>
      </c>
      <c r="B654" s="47" t="s">
        <v>101</v>
      </c>
      <c r="C654" s="48">
        <f t="shared" si="142"/>
        <v>0</v>
      </c>
      <c r="D654" s="99">
        <f t="shared" si="122"/>
        <v>0</v>
      </c>
      <c r="E654" s="45">
        <f t="shared" si="123"/>
        <v>0</v>
      </c>
      <c r="F654" s="45">
        <f t="shared" si="143"/>
        <v>0</v>
      </c>
      <c r="G654" s="79">
        <f t="shared" si="144"/>
        <v>0</v>
      </c>
      <c r="H654" s="199">
        <v>0</v>
      </c>
      <c r="I654" s="199">
        <v>1865</v>
      </c>
      <c r="J654" s="200">
        <f t="shared" si="145"/>
        <v>1865</v>
      </c>
      <c r="K654" s="201">
        <f t="shared" si="130"/>
        <v>1865</v>
      </c>
      <c r="L654" s="43"/>
      <c r="N654" s="153">
        <v>128607</v>
      </c>
      <c r="O654" s="153">
        <v>75973</v>
      </c>
      <c r="P654" s="153">
        <v>5485</v>
      </c>
      <c r="Q654" s="153"/>
      <c r="R654" s="153">
        <v>27312</v>
      </c>
      <c r="S654" s="154">
        <v>5090.2</v>
      </c>
      <c r="T654" s="154"/>
      <c r="U654" s="154"/>
      <c r="V654" s="153">
        <v>190758</v>
      </c>
      <c r="W654" s="153">
        <v>109256</v>
      </c>
      <c r="X654" s="153">
        <v>80500</v>
      </c>
      <c r="Y654" s="153">
        <v>92778</v>
      </c>
      <c r="Z654" s="153">
        <v>146707</v>
      </c>
    </row>
    <row r="655" spans="1:26" ht="18" hidden="1" customHeight="1" x14ac:dyDescent="0.2">
      <c r="A655" s="47">
        <f t="shared" si="128"/>
        <v>43506</v>
      </c>
      <c r="B655" s="47" t="s">
        <v>95</v>
      </c>
      <c r="C655" s="48">
        <f t="shared" si="142"/>
        <v>4624</v>
      </c>
      <c r="D655" s="99">
        <f t="shared" si="122"/>
        <v>3560</v>
      </c>
      <c r="E655" s="45">
        <f t="shared" si="123"/>
        <v>10664</v>
      </c>
      <c r="F655" s="45">
        <f t="shared" si="143"/>
        <v>1045</v>
      </c>
      <c r="G655" s="79">
        <f t="shared" si="144"/>
        <v>19893</v>
      </c>
      <c r="H655" s="199">
        <v>0</v>
      </c>
      <c r="I655" s="199">
        <v>1667</v>
      </c>
      <c r="J655" s="200">
        <f t="shared" si="145"/>
        <v>1667</v>
      </c>
      <c r="K655" s="201">
        <f t="shared" si="130"/>
        <v>-18226</v>
      </c>
      <c r="L655" s="43"/>
      <c r="N655" s="153">
        <v>128607</v>
      </c>
      <c r="O655" s="153">
        <v>75973</v>
      </c>
      <c r="P655" s="153">
        <v>5485</v>
      </c>
      <c r="Q655" s="153"/>
      <c r="R655" s="153">
        <v>27312</v>
      </c>
      <c r="S655" s="154">
        <v>5090.2</v>
      </c>
      <c r="T655" s="154"/>
      <c r="U655" s="154"/>
      <c r="V655" s="153">
        <v>190758</v>
      </c>
      <c r="W655" s="153">
        <v>109256</v>
      </c>
      <c r="X655" s="153">
        <v>80500</v>
      </c>
      <c r="Y655" s="153">
        <v>92778</v>
      </c>
      <c r="Z655" s="153">
        <v>146707</v>
      </c>
    </row>
    <row r="656" spans="1:26" ht="18" hidden="1" customHeight="1" x14ac:dyDescent="0.2">
      <c r="A656" s="47">
        <f t="shared" si="128"/>
        <v>43507</v>
      </c>
      <c r="B656" s="47" t="s">
        <v>96</v>
      </c>
      <c r="C656" s="48">
        <f t="shared" ref="C656:C662" si="146">(V657-V656)*1+(W657-W656)*32+(X657-X656)*12+(Y657-Y656)*6</f>
        <v>2229</v>
      </c>
      <c r="D656" s="99">
        <f t="shared" si="122"/>
        <v>1656</v>
      </c>
      <c r="E656" s="45">
        <f t="shared" si="123"/>
        <v>1115.0000000000437</v>
      </c>
      <c r="F656" s="45">
        <f t="shared" ref="F656:F662" si="147">(Z657-Z656)*1</f>
        <v>124</v>
      </c>
      <c r="G656" s="79">
        <f t="shared" ref="G656:G662" si="148">C656+D656+F656+E656</f>
        <v>5124.0000000000437</v>
      </c>
      <c r="H656" s="199">
        <v>4275</v>
      </c>
      <c r="I656" s="199">
        <v>447</v>
      </c>
      <c r="J656" s="200">
        <f t="shared" si="145"/>
        <v>4722</v>
      </c>
      <c r="K656" s="201">
        <f t="shared" si="130"/>
        <v>-402.00000000004366</v>
      </c>
      <c r="L656" s="43"/>
      <c r="N656" s="112">
        <v>129007</v>
      </c>
      <c r="O656" s="112">
        <v>76116</v>
      </c>
      <c r="P656" s="112">
        <v>5530</v>
      </c>
      <c r="Q656" s="112"/>
      <c r="R656" s="112">
        <v>27536</v>
      </c>
      <c r="S656" s="113">
        <v>5177.2</v>
      </c>
      <c r="T656" s="113"/>
      <c r="U656" s="113"/>
      <c r="V656" s="112">
        <v>191214</v>
      </c>
      <c r="W656" s="112">
        <v>109351</v>
      </c>
      <c r="X656" s="112">
        <v>80594</v>
      </c>
      <c r="Y656" s="112">
        <v>92778</v>
      </c>
      <c r="Z656" s="112">
        <v>147752</v>
      </c>
    </row>
    <row r="657" spans="1:26" ht="18" hidden="1" customHeight="1" x14ac:dyDescent="0.2">
      <c r="A657" s="47">
        <f t="shared" si="128"/>
        <v>43508</v>
      </c>
      <c r="B657" s="47" t="s">
        <v>97</v>
      </c>
      <c r="C657" s="48">
        <f t="shared" si="146"/>
        <v>2183</v>
      </c>
      <c r="D657" s="99">
        <f t="shared" si="122"/>
        <v>1600</v>
      </c>
      <c r="E657" s="45">
        <f t="shared" si="123"/>
        <v>910.99999999995634</v>
      </c>
      <c r="F657" s="45">
        <f t="shared" si="147"/>
        <v>111</v>
      </c>
      <c r="G657" s="79">
        <f t="shared" si="148"/>
        <v>4804.9999999999563</v>
      </c>
      <c r="H657" s="199">
        <v>4029</v>
      </c>
      <c r="I657" s="199">
        <v>966</v>
      </c>
      <c r="J657" s="200">
        <f t="shared" si="145"/>
        <v>4995</v>
      </c>
      <c r="K657" s="201">
        <f t="shared" si="130"/>
        <v>190.00000000004366</v>
      </c>
      <c r="L657" s="43"/>
      <c r="N657" s="112">
        <v>129207</v>
      </c>
      <c r="O657" s="112">
        <v>76191</v>
      </c>
      <c r="P657" s="112">
        <v>5537</v>
      </c>
      <c r="Q657" s="112"/>
      <c r="R657" s="112">
        <v>27559</v>
      </c>
      <c r="S657" s="113">
        <v>5186.3</v>
      </c>
      <c r="T657" s="113"/>
      <c r="U657" s="113"/>
      <c r="V657" s="112">
        <v>191379</v>
      </c>
      <c r="W657" s="112">
        <v>109384</v>
      </c>
      <c r="X657" s="112">
        <v>80678</v>
      </c>
      <c r="Y657" s="112">
        <v>92778</v>
      </c>
      <c r="Z657" s="112">
        <v>147876</v>
      </c>
    </row>
    <row r="658" spans="1:26" ht="18" hidden="1" customHeight="1" x14ac:dyDescent="0.2">
      <c r="A658" s="47">
        <f t="shared" si="128"/>
        <v>43509</v>
      </c>
      <c r="B658" s="47" t="s">
        <v>98</v>
      </c>
      <c r="C658" s="48">
        <f t="shared" si="146"/>
        <v>2230</v>
      </c>
      <c r="D658" s="99">
        <f t="shared" si="122"/>
        <v>2456</v>
      </c>
      <c r="E658" s="45">
        <f t="shared" si="123"/>
        <v>874.00000000004366</v>
      </c>
      <c r="F658" s="45">
        <f t="shared" si="147"/>
        <v>116</v>
      </c>
      <c r="G658" s="79">
        <f t="shared" si="148"/>
        <v>5676.0000000000437</v>
      </c>
      <c r="H658" s="199">
        <v>3999</v>
      </c>
      <c r="I658" s="199">
        <v>976</v>
      </c>
      <c r="J658" s="200">
        <f t="shared" si="145"/>
        <v>4975</v>
      </c>
      <c r="K658" s="201">
        <f t="shared" si="130"/>
        <v>-701.00000000004366</v>
      </c>
      <c r="L658" s="43"/>
      <c r="N658" s="112">
        <v>129397</v>
      </c>
      <c r="O658" s="112">
        <v>76263</v>
      </c>
      <c r="P658" s="112">
        <v>5547</v>
      </c>
      <c r="Q658" s="112"/>
      <c r="R658" s="112">
        <v>27582</v>
      </c>
      <c r="S658" s="113">
        <v>5193.7</v>
      </c>
      <c r="T658" s="113"/>
      <c r="U658" s="113"/>
      <c r="V658" s="112">
        <v>191570</v>
      </c>
      <c r="W658" s="112">
        <v>109417</v>
      </c>
      <c r="X658" s="112">
        <v>80756</v>
      </c>
      <c r="Y658" s="112">
        <v>92778</v>
      </c>
      <c r="Z658" s="112">
        <v>147987</v>
      </c>
    </row>
    <row r="659" spans="1:26" ht="18" hidden="1" customHeight="1" x14ac:dyDescent="0.2">
      <c r="A659" s="47">
        <f t="shared" si="128"/>
        <v>43510</v>
      </c>
      <c r="B659" s="47" t="s">
        <v>99</v>
      </c>
      <c r="C659" s="48">
        <f t="shared" si="146"/>
        <v>2234</v>
      </c>
      <c r="D659" s="99">
        <f t="shared" si="122"/>
        <v>928</v>
      </c>
      <c r="E659" s="45">
        <f t="shared" si="123"/>
        <v>873.99999999993452</v>
      </c>
      <c r="F659" s="45">
        <f t="shared" si="147"/>
        <v>114</v>
      </c>
      <c r="G659" s="79">
        <f t="shared" si="148"/>
        <v>4149.9999999999345</v>
      </c>
      <c r="H659" s="199">
        <v>4092</v>
      </c>
      <c r="I659" s="199">
        <v>1010</v>
      </c>
      <c r="J659" s="200">
        <f t="shared" si="145"/>
        <v>5102</v>
      </c>
      <c r="K659" s="201">
        <f t="shared" si="130"/>
        <v>952.00000000006548</v>
      </c>
      <c r="L659" s="43"/>
      <c r="N659" s="112">
        <v>129697</v>
      </c>
      <c r="O659" s="112">
        <v>76340</v>
      </c>
      <c r="P659" s="112">
        <v>5554</v>
      </c>
      <c r="Q659" s="112"/>
      <c r="R659" s="112">
        <v>27604</v>
      </c>
      <c r="S659" s="113">
        <v>5200.8</v>
      </c>
      <c r="T659" s="113"/>
      <c r="U659" s="113"/>
      <c r="V659" s="112">
        <v>191772</v>
      </c>
      <c r="W659" s="112">
        <v>109450</v>
      </c>
      <c r="X659" s="112">
        <v>80837</v>
      </c>
      <c r="Y659" s="112">
        <v>92778</v>
      </c>
      <c r="Z659" s="112">
        <v>148103</v>
      </c>
    </row>
    <row r="660" spans="1:26" ht="18" hidden="1" customHeight="1" x14ac:dyDescent="0.2">
      <c r="A660" s="47">
        <f t="shared" si="128"/>
        <v>43511</v>
      </c>
      <c r="B660" s="47" t="s">
        <v>100</v>
      </c>
      <c r="C660" s="48">
        <f t="shared" si="146"/>
        <v>0</v>
      </c>
      <c r="D660" s="99">
        <f t="shared" si="122"/>
        <v>0</v>
      </c>
      <c r="E660" s="45">
        <f t="shared" si="123"/>
        <v>0</v>
      </c>
      <c r="F660" s="45">
        <f t="shared" si="147"/>
        <v>0</v>
      </c>
      <c r="G660" s="79">
        <f t="shared" si="148"/>
        <v>0</v>
      </c>
      <c r="H660" s="199">
        <v>3999</v>
      </c>
      <c r="I660" s="199">
        <v>991</v>
      </c>
      <c r="J660" s="200">
        <f t="shared" si="145"/>
        <v>4990</v>
      </c>
      <c r="K660" s="201">
        <f t="shared" si="130"/>
        <v>4990</v>
      </c>
      <c r="L660" s="43"/>
      <c r="N660" s="112">
        <v>129807</v>
      </c>
      <c r="O660" s="112">
        <v>76418</v>
      </c>
      <c r="P660" s="112">
        <v>5560</v>
      </c>
      <c r="Q660" s="112"/>
      <c r="R660" s="112">
        <v>27626</v>
      </c>
      <c r="S660" s="113">
        <v>5207.8999999999996</v>
      </c>
      <c r="T660" s="113"/>
      <c r="U660" s="113"/>
      <c r="V660" s="112">
        <v>191934</v>
      </c>
      <c r="W660" s="112">
        <v>109484</v>
      </c>
      <c r="X660" s="112">
        <v>80919</v>
      </c>
      <c r="Y660" s="112">
        <v>92778</v>
      </c>
      <c r="Z660" s="112">
        <v>148217</v>
      </c>
    </row>
    <row r="661" spans="1:26" ht="18" hidden="1" customHeight="1" x14ac:dyDescent="0.2">
      <c r="A661" s="47">
        <f t="shared" si="128"/>
        <v>43512</v>
      </c>
      <c r="B661" s="47" t="s">
        <v>101</v>
      </c>
      <c r="C661" s="48">
        <f t="shared" si="146"/>
        <v>0</v>
      </c>
      <c r="D661" s="99">
        <f t="shared" ref="D661:D724" si="149">(N662-N661)*8+(P662-P661)*8</f>
        <v>0</v>
      </c>
      <c r="E661" s="45">
        <f t="shared" ref="E661:E724" si="150">(R662-R661)*1+(S662-S661)*120</f>
        <v>0</v>
      </c>
      <c r="F661" s="45">
        <f t="shared" si="147"/>
        <v>0</v>
      </c>
      <c r="G661" s="79">
        <f t="shared" si="148"/>
        <v>0</v>
      </c>
      <c r="H661" s="199">
        <v>2064</v>
      </c>
      <c r="I661" s="199">
        <v>671</v>
      </c>
      <c r="J661" s="200">
        <f t="shared" si="145"/>
        <v>2735</v>
      </c>
      <c r="K661" s="201">
        <f t="shared" si="130"/>
        <v>2735</v>
      </c>
      <c r="L661" s="43"/>
      <c r="N661" s="153">
        <v>129807</v>
      </c>
      <c r="O661" s="153">
        <v>76418</v>
      </c>
      <c r="P661" s="153">
        <v>5560</v>
      </c>
      <c r="Q661" s="153"/>
      <c r="R661" s="153">
        <v>27626</v>
      </c>
      <c r="S661" s="154">
        <v>5207.8999999999996</v>
      </c>
      <c r="T661" s="154"/>
      <c r="U661" s="154"/>
      <c r="V661" s="153">
        <v>191934</v>
      </c>
      <c r="W661" s="153">
        <v>109484</v>
      </c>
      <c r="X661" s="153">
        <v>80919</v>
      </c>
      <c r="Y661" s="153">
        <v>92778</v>
      </c>
      <c r="Z661" s="153">
        <v>148217</v>
      </c>
    </row>
    <row r="662" spans="1:26" ht="18" hidden="1" customHeight="1" x14ac:dyDescent="0.2">
      <c r="A662" s="47">
        <f t="shared" si="128"/>
        <v>43513</v>
      </c>
      <c r="B662" s="47" t="s">
        <v>95</v>
      </c>
      <c r="C662" s="48">
        <f t="shared" si="146"/>
        <v>2293</v>
      </c>
      <c r="D662" s="99">
        <f t="shared" si="149"/>
        <v>3688</v>
      </c>
      <c r="E662" s="45">
        <f t="shared" si="150"/>
        <v>3270.0000000000873</v>
      </c>
      <c r="F662" s="45">
        <f t="shared" si="147"/>
        <v>327</v>
      </c>
      <c r="G662" s="79">
        <f t="shared" si="148"/>
        <v>9578.0000000000873</v>
      </c>
      <c r="H662" s="199">
        <v>0</v>
      </c>
      <c r="I662" s="199">
        <v>3133</v>
      </c>
      <c r="J662" s="200">
        <f t="shared" si="145"/>
        <v>3133</v>
      </c>
      <c r="K662" s="201">
        <f t="shared" si="130"/>
        <v>-6445.0000000000873</v>
      </c>
      <c r="L662" s="43"/>
      <c r="N662" s="153">
        <v>129807</v>
      </c>
      <c r="O662" s="153">
        <v>76418</v>
      </c>
      <c r="P662" s="153">
        <v>5560</v>
      </c>
      <c r="Q662" s="153"/>
      <c r="R662" s="153">
        <v>27626</v>
      </c>
      <c r="S662" s="154">
        <v>5207.8999999999996</v>
      </c>
      <c r="T662" s="154"/>
      <c r="U662" s="154"/>
      <c r="V662" s="153">
        <v>191934</v>
      </c>
      <c r="W662" s="153">
        <v>109484</v>
      </c>
      <c r="X662" s="153">
        <v>80919</v>
      </c>
      <c r="Y662" s="153">
        <v>92778</v>
      </c>
      <c r="Z662" s="153">
        <v>148217</v>
      </c>
    </row>
    <row r="663" spans="1:26" ht="18" hidden="1" customHeight="1" x14ac:dyDescent="0.2">
      <c r="A663" s="47">
        <f t="shared" si="128"/>
        <v>43514</v>
      </c>
      <c r="B663" s="47" t="s">
        <v>96</v>
      </c>
      <c r="C663" s="48">
        <f t="shared" ref="C663:C670" si="151">(V664-V663)*1+(W664-W663)*32+(X664-X663)*12+(Y664-Y663)*6</f>
        <v>3004</v>
      </c>
      <c r="D663" s="99">
        <f t="shared" si="149"/>
        <v>1728</v>
      </c>
      <c r="E663" s="45">
        <f t="shared" si="150"/>
        <v>1258.9999999999127</v>
      </c>
      <c r="F663" s="45">
        <f t="shared" ref="F663:F670" si="152">(Z664-Z663)*1</f>
        <v>115</v>
      </c>
      <c r="G663" s="79">
        <f t="shared" ref="G663:G670" si="153">C663+D663+F663+E663</f>
        <v>6105.9999999999127</v>
      </c>
      <c r="H663" s="199">
        <v>4343</v>
      </c>
      <c r="I663" s="199">
        <v>1028</v>
      </c>
      <c r="J663" s="200">
        <f t="shared" si="145"/>
        <v>5371</v>
      </c>
      <c r="K663" s="201">
        <f t="shared" si="130"/>
        <v>-734.99999999991269</v>
      </c>
      <c r="L663" s="43"/>
      <c r="N663" s="112">
        <v>130247</v>
      </c>
      <c r="O663" s="112">
        <v>76588</v>
      </c>
      <c r="P663" s="112">
        <v>5581</v>
      </c>
      <c r="Q663" s="112"/>
      <c r="R663" s="112">
        <v>27692</v>
      </c>
      <c r="S663" s="113">
        <v>5234.6000000000004</v>
      </c>
      <c r="T663" s="113"/>
      <c r="U663" s="113"/>
      <c r="V663" s="112">
        <v>191287</v>
      </c>
      <c r="W663" s="112">
        <v>109544</v>
      </c>
      <c r="X663" s="112">
        <v>81004</v>
      </c>
      <c r="Y663" s="112">
        <v>92778</v>
      </c>
      <c r="Z663" s="112">
        <v>148544</v>
      </c>
    </row>
    <row r="664" spans="1:26" ht="18" hidden="1" customHeight="1" x14ac:dyDescent="0.2">
      <c r="A664" s="47">
        <f t="shared" si="128"/>
        <v>43515</v>
      </c>
      <c r="B664" s="47" t="s">
        <v>97</v>
      </c>
      <c r="C664" s="48">
        <f t="shared" si="151"/>
        <v>2084</v>
      </c>
      <c r="D664" s="99">
        <f t="shared" si="149"/>
        <v>1664</v>
      </c>
      <c r="E664" s="45">
        <f t="shared" si="150"/>
        <v>994.00000000004366</v>
      </c>
      <c r="F664" s="45">
        <f t="shared" si="152"/>
        <v>100</v>
      </c>
      <c r="G664" s="79">
        <f t="shared" si="153"/>
        <v>4842.0000000000437</v>
      </c>
      <c r="H664" s="199">
        <v>4076</v>
      </c>
      <c r="I664" s="199">
        <v>967</v>
      </c>
      <c r="J664" s="200">
        <f t="shared" si="145"/>
        <v>5043</v>
      </c>
      <c r="K664" s="201">
        <f t="shared" si="130"/>
        <v>200.99999999995634</v>
      </c>
      <c r="L664" s="43"/>
      <c r="N664" s="112">
        <v>130457</v>
      </c>
      <c r="O664" s="112">
        <v>76664</v>
      </c>
      <c r="P664" s="112">
        <v>5587</v>
      </c>
      <c r="Q664" s="112"/>
      <c r="R664" s="112">
        <v>27715</v>
      </c>
      <c r="S664" s="113">
        <v>5244.9</v>
      </c>
      <c r="T664" s="113"/>
      <c r="U664" s="113"/>
      <c r="V664" s="112">
        <v>192295</v>
      </c>
      <c r="W664" s="112">
        <v>109576</v>
      </c>
      <c r="X664" s="112">
        <v>81085</v>
      </c>
      <c r="Y664" s="112">
        <v>92778</v>
      </c>
      <c r="Z664" s="112">
        <v>148659</v>
      </c>
    </row>
    <row r="665" spans="1:26" ht="18" hidden="1" customHeight="1" x14ac:dyDescent="0.2">
      <c r="A665" s="47">
        <f t="shared" si="128"/>
        <v>43516</v>
      </c>
      <c r="B665" s="47" t="s">
        <v>98</v>
      </c>
      <c r="C665" s="48">
        <f t="shared" si="151"/>
        <v>2664</v>
      </c>
      <c r="D665" s="99">
        <f t="shared" si="149"/>
        <v>1512</v>
      </c>
      <c r="E665" s="45">
        <f t="shared" si="150"/>
        <v>973</v>
      </c>
      <c r="F665" s="45">
        <f t="shared" si="152"/>
        <v>93</v>
      </c>
      <c r="G665" s="79">
        <f t="shared" si="153"/>
        <v>5242</v>
      </c>
      <c r="H665" s="199">
        <v>4239</v>
      </c>
      <c r="I665" s="199">
        <v>976</v>
      </c>
      <c r="J665" s="200">
        <f t="shared" si="145"/>
        <v>5215</v>
      </c>
      <c r="K665" s="201">
        <f t="shared" si="130"/>
        <v>-27</v>
      </c>
      <c r="L665" s="43"/>
      <c r="N665" s="112">
        <v>130657</v>
      </c>
      <c r="O665" s="112">
        <v>76739</v>
      </c>
      <c r="P665" s="112">
        <v>5595</v>
      </c>
      <c r="Q665" s="112"/>
      <c r="R665" s="112">
        <v>27737</v>
      </c>
      <c r="S665" s="113">
        <v>5253</v>
      </c>
      <c r="T665" s="113"/>
      <c r="U665" s="113"/>
      <c r="V665" s="112">
        <v>192383</v>
      </c>
      <c r="W665" s="112">
        <v>109611</v>
      </c>
      <c r="X665" s="112">
        <v>81158</v>
      </c>
      <c r="Y665" s="112">
        <v>92778</v>
      </c>
      <c r="Z665" s="112">
        <v>148759</v>
      </c>
    </row>
    <row r="666" spans="1:26" ht="18" hidden="1" customHeight="1" x14ac:dyDescent="0.2">
      <c r="A666" s="47">
        <f t="shared" si="128"/>
        <v>43517</v>
      </c>
      <c r="B666" s="47" t="s">
        <v>99</v>
      </c>
      <c r="C666" s="48">
        <f t="shared" si="151"/>
        <v>2046</v>
      </c>
      <c r="D666" s="99">
        <f t="shared" si="149"/>
        <v>1424</v>
      </c>
      <c r="E666" s="45">
        <f t="shared" si="150"/>
        <v>970.00000000002183</v>
      </c>
      <c r="F666" s="45">
        <f t="shared" si="152"/>
        <v>94</v>
      </c>
      <c r="G666" s="79">
        <f t="shared" si="153"/>
        <v>4534.0000000000218</v>
      </c>
      <c r="H666" s="199">
        <v>3724</v>
      </c>
      <c r="I666" s="199">
        <v>1155</v>
      </c>
      <c r="J666" s="200">
        <f t="shared" si="145"/>
        <v>4879</v>
      </c>
      <c r="K666" s="201">
        <f t="shared" si="130"/>
        <v>344.99999999997817</v>
      </c>
      <c r="L666" s="43"/>
      <c r="N666" s="112">
        <v>130837</v>
      </c>
      <c r="O666" s="112">
        <v>76805</v>
      </c>
      <c r="P666" s="112">
        <v>5604</v>
      </c>
      <c r="Q666" s="112"/>
      <c r="R666" s="112">
        <v>27750</v>
      </c>
      <c r="S666" s="113">
        <v>5261</v>
      </c>
      <c r="T666" s="113"/>
      <c r="U666" s="113"/>
      <c r="V666" s="112">
        <v>192555</v>
      </c>
      <c r="W666" s="112">
        <v>109660</v>
      </c>
      <c r="X666" s="112">
        <v>81235</v>
      </c>
      <c r="Y666" s="112">
        <v>92778</v>
      </c>
      <c r="Z666" s="112">
        <v>148852</v>
      </c>
    </row>
    <row r="667" spans="1:26" ht="18" hidden="1" customHeight="1" x14ac:dyDescent="0.2">
      <c r="A667" s="47">
        <f t="shared" si="128"/>
        <v>43518</v>
      </c>
      <c r="B667" s="47" t="s">
        <v>100</v>
      </c>
      <c r="C667" s="48">
        <f t="shared" si="151"/>
        <v>2276</v>
      </c>
      <c r="D667" s="99">
        <f t="shared" si="149"/>
        <v>1296</v>
      </c>
      <c r="E667" s="45">
        <f t="shared" si="150"/>
        <v>1065.9999999999782</v>
      </c>
      <c r="F667" s="45">
        <f t="shared" si="152"/>
        <v>104</v>
      </c>
      <c r="G667" s="79">
        <f t="shared" si="153"/>
        <v>4741.9999999999782</v>
      </c>
      <c r="H667" s="199">
        <v>4079</v>
      </c>
      <c r="I667" s="199">
        <v>838</v>
      </c>
      <c r="J667" s="200">
        <f t="shared" si="145"/>
        <v>4917</v>
      </c>
      <c r="K667" s="201">
        <f t="shared" si="130"/>
        <v>175.00000000002183</v>
      </c>
      <c r="L667" s="43"/>
      <c r="N667" s="112">
        <v>131007</v>
      </c>
      <c r="O667" s="112">
        <v>76864</v>
      </c>
      <c r="P667" s="112">
        <v>5612</v>
      </c>
      <c r="Q667" s="112"/>
      <c r="R667" s="112">
        <v>27784</v>
      </c>
      <c r="S667" s="113">
        <v>5268.8</v>
      </c>
      <c r="T667" s="113"/>
      <c r="U667" s="113"/>
      <c r="V667" s="112">
        <v>192729</v>
      </c>
      <c r="W667" s="112">
        <v>109693</v>
      </c>
      <c r="X667" s="112">
        <v>81303</v>
      </c>
      <c r="Y667" s="112">
        <v>92778</v>
      </c>
      <c r="Z667" s="112">
        <v>148946</v>
      </c>
    </row>
    <row r="668" spans="1:26" ht="18" hidden="1" customHeight="1" x14ac:dyDescent="0.2">
      <c r="A668" s="47">
        <f t="shared" si="128"/>
        <v>43519</v>
      </c>
      <c r="B668" s="47" t="s">
        <v>101</v>
      </c>
      <c r="C668" s="48">
        <f t="shared" si="151"/>
        <v>0</v>
      </c>
      <c r="D668" s="99">
        <f t="shared" si="149"/>
        <v>0</v>
      </c>
      <c r="E668" s="45">
        <f t="shared" si="150"/>
        <v>0</v>
      </c>
      <c r="F668" s="45">
        <f t="shared" si="152"/>
        <v>0</v>
      </c>
      <c r="G668" s="79">
        <f t="shared" si="153"/>
        <v>0</v>
      </c>
      <c r="H668" s="199">
        <v>0</v>
      </c>
      <c r="I668" s="199">
        <v>4764</v>
      </c>
      <c r="J668" s="200">
        <f t="shared" si="145"/>
        <v>4764</v>
      </c>
      <c r="K668" s="201">
        <f t="shared" si="130"/>
        <v>4764</v>
      </c>
      <c r="L668" s="43"/>
      <c r="N668" s="112">
        <v>131157</v>
      </c>
      <c r="O668" s="112">
        <v>76921</v>
      </c>
      <c r="P668" s="112">
        <v>5624</v>
      </c>
      <c r="Q668" s="112"/>
      <c r="R668" s="112">
        <v>27806</v>
      </c>
      <c r="S668" s="113">
        <v>5277.5</v>
      </c>
      <c r="T668" s="113"/>
      <c r="U668" s="113"/>
      <c r="V668" s="112">
        <v>192901</v>
      </c>
      <c r="W668" s="112">
        <v>109728</v>
      </c>
      <c r="X668" s="112">
        <v>81385</v>
      </c>
      <c r="Y668" s="112">
        <v>92778</v>
      </c>
      <c r="Z668" s="112">
        <v>149050</v>
      </c>
    </row>
    <row r="669" spans="1:26" ht="18" hidden="1" customHeight="1" x14ac:dyDescent="0.2">
      <c r="A669" s="47">
        <f t="shared" si="128"/>
        <v>43520</v>
      </c>
      <c r="B669" s="47" t="s">
        <v>95</v>
      </c>
      <c r="C669" s="48">
        <f>(V670-V669)*1+(W670-W669)*32+(X670-X669)*12+(Y670-Y669)*6</f>
        <v>2863</v>
      </c>
      <c r="D669" s="99">
        <f t="shared" si="149"/>
        <v>2576</v>
      </c>
      <c r="E669" s="45">
        <f t="shared" si="150"/>
        <v>2228.9999999999782</v>
      </c>
      <c r="F669" s="45">
        <f>(Z670-Z669)*1</f>
        <v>256</v>
      </c>
      <c r="G669" s="79">
        <f t="shared" si="153"/>
        <v>7923.9999999999782</v>
      </c>
      <c r="H669" s="199">
        <v>0</v>
      </c>
      <c r="I669" s="199">
        <v>3169</v>
      </c>
      <c r="J669" s="200">
        <f t="shared" si="145"/>
        <v>3169</v>
      </c>
      <c r="K669" s="201">
        <f t="shared" si="130"/>
        <v>-4754.9999999999782</v>
      </c>
      <c r="L669" s="43"/>
      <c r="N669" s="153">
        <v>131157</v>
      </c>
      <c r="O669" s="153">
        <v>76921</v>
      </c>
      <c r="P669" s="153">
        <v>5624</v>
      </c>
      <c r="Q669" s="153"/>
      <c r="R669" s="153">
        <v>27806</v>
      </c>
      <c r="S669" s="154">
        <v>5277.5</v>
      </c>
      <c r="T669" s="154"/>
      <c r="U669" s="154"/>
      <c r="V669" s="153">
        <v>192901</v>
      </c>
      <c r="W669" s="153">
        <v>109728</v>
      </c>
      <c r="X669" s="153">
        <v>81385</v>
      </c>
      <c r="Y669" s="153">
        <v>92778</v>
      </c>
      <c r="Z669" s="153">
        <v>149050</v>
      </c>
    </row>
    <row r="670" spans="1:26" ht="18" hidden="1" customHeight="1" x14ac:dyDescent="0.2">
      <c r="A670" s="47">
        <f t="shared" si="128"/>
        <v>43521</v>
      </c>
      <c r="B670" s="47" t="s">
        <v>96</v>
      </c>
      <c r="C670" s="48">
        <f t="shared" si="151"/>
        <v>1982</v>
      </c>
      <c r="D670" s="99">
        <f t="shared" si="149"/>
        <v>1360</v>
      </c>
      <c r="E670" s="45">
        <f t="shared" si="150"/>
        <v>1127.9999999999782</v>
      </c>
      <c r="F670" s="45">
        <f t="shared" si="152"/>
        <v>138</v>
      </c>
      <c r="G670" s="79">
        <f t="shared" si="153"/>
        <v>4607.9999999999782</v>
      </c>
      <c r="H670" s="199">
        <v>4088</v>
      </c>
      <c r="I670" s="199">
        <v>894</v>
      </c>
      <c r="J670" s="200">
        <f t="shared" si="145"/>
        <v>4982</v>
      </c>
      <c r="K670" s="201">
        <f t="shared" si="130"/>
        <v>374.00000000002183</v>
      </c>
      <c r="L670" s="43"/>
      <c r="N670" s="112">
        <v>131467</v>
      </c>
      <c r="O670" s="112">
        <v>77036</v>
      </c>
      <c r="P670" s="112">
        <v>5636</v>
      </c>
      <c r="Q670" s="112"/>
      <c r="R670" s="112">
        <v>27851</v>
      </c>
      <c r="S670" s="113">
        <v>5295.7</v>
      </c>
      <c r="T670" s="113"/>
      <c r="U670" s="113"/>
      <c r="V670" s="112">
        <v>193184</v>
      </c>
      <c r="W670" s="112">
        <v>109773</v>
      </c>
      <c r="X670" s="112">
        <v>81480</v>
      </c>
      <c r="Y670" s="112">
        <v>92778</v>
      </c>
      <c r="Z670" s="112">
        <v>149306</v>
      </c>
    </row>
    <row r="671" spans="1:26" ht="18" hidden="1" customHeight="1" x14ac:dyDescent="0.2">
      <c r="A671" s="47">
        <f>A670+1</f>
        <v>43522</v>
      </c>
      <c r="B671" s="47" t="s">
        <v>97</v>
      </c>
      <c r="C671" s="48">
        <f t="shared" ref="C671:C676" si="154">(V672-V671)*1+(W672-W671)*32+(X672-X671)*12+(Y672-Y671)*6</f>
        <v>2249</v>
      </c>
      <c r="D671" s="99">
        <f t="shared" si="149"/>
        <v>1336</v>
      </c>
      <c r="E671" s="45">
        <f t="shared" si="150"/>
        <v>921</v>
      </c>
      <c r="F671" s="45">
        <f t="shared" ref="F671:F676" si="155">(Z672-Z671)*1</f>
        <v>103</v>
      </c>
      <c r="G671" s="79">
        <f t="shared" ref="G671:G676" si="156">C671+D671+F671+E671</f>
        <v>4609</v>
      </c>
      <c r="H671" s="199">
        <v>3925</v>
      </c>
      <c r="I671" s="199">
        <v>889</v>
      </c>
      <c r="J671" s="200">
        <f t="shared" si="145"/>
        <v>4814</v>
      </c>
      <c r="K671" s="201">
        <f t="shared" si="130"/>
        <v>205</v>
      </c>
      <c r="L671" s="43"/>
      <c r="N671" s="112">
        <v>131627</v>
      </c>
      <c r="O671" s="112">
        <v>77096</v>
      </c>
      <c r="P671" s="112">
        <v>5646</v>
      </c>
      <c r="Q671" s="112"/>
      <c r="R671" s="112">
        <v>27875</v>
      </c>
      <c r="S671" s="113">
        <v>5304.9</v>
      </c>
      <c r="T671" s="113"/>
      <c r="U671" s="113"/>
      <c r="V671" s="112">
        <v>193346</v>
      </c>
      <c r="W671" s="112">
        <v>109807</v>
      </c>
      <c r="X671" s="112">
        <v>81541</v>
      </c>
      <c r="Y671" s="112">
        <v>92778</v>
      </c>
      <c r="Z671" s="112">
        <v>149444</v>
      </c>
    </row>
    <row r="672" spans="1:26" ht="18" hidden="1" customHeight="1" x14ac:dyDescent="0.2">
      <c r="A672" s="47">
        <f t="shared" si="128"/>
        <v>43523</v>
      </c>
      <c r="B672" s="47" t="s">
        <v>98</v>
      </c>
      <c r="C672" s="48">
        <f t="shared" si="154"/>
        <v>0</v>
      </c>
      <c r="D672" s="99">
        <f t="shared" si="149"/>
        <v>0</v>
      </c>
      <c r="E672" s="45">
        <f t="shared" si="150"/>
        <v>0</v>
      </c>
      <c r="F672" s="45">
        <f t="shared" si="155"/>
        <v>0</v>
      </c>
      <c r="G672" s="79">
        <f t="shared" si="156"/>
        <v>0</v>
      </c>
      <c r="H672" s="199">
        <v>3685</v>
      </c>
      <c r="I672" s="199">
        <v>863</v>
      </c>
      <c r="J672" s="200">
        <f t="shared" si="145"/>
        <v>4548</v>
      </c>
      <c r="K672" s="201">
        <f t="shared" si="130"/>
        <v>4548</v>
      </c>
      <c r="L672" s="43"/>
      <c r="N672" s="112">
        <v>131787</v>
      </c>
      <c r="O672" s="112">
        <v>77156</v>
      </c>
      <c r="P672" s="112">
        <v>5653</v>
      </c>
      <c r="Q672" s="112"/>
      <c r="R672" s="112">
        <v>27896</v>
      </c>
      <c r="S672" s="113">
        <v>5312.4</v>
      </c>
      <c r="T672" s="113"/>
      <c r="U672" s="113"/>
      <c r="V672" s="112">
        <v>193511</v>
      </c>
      <c r="W672" s="112">
        <v>109841</v>
      </c>
      <c r="X672" s="112">
        <v>81624</v>
      </c>
      <c r="Y672" s="112">
        <v>92778</v>
      </c>
      <c r="Z672" s="112">
        <v>149547</v>
      </c>
    </row>
    <row r="673" spans="1:26" ht="18" hidden="1" customHeight="1" x14ac:dyDescent="0.2">
      <c r="A673" s="47">
        <f t="shared" si="128"/>
        <v>43524</v>
      </c>
      <c r="B673" s="47" t="s">
        <v>99</v>
      </c>
      <c r="C673" s="48">
        <f t="shared" si="154"/>
        <v>0</v>
      </c>
      <c r="D673" s="99">
        <f t="shared" si="149"/>
        <v>0</v>
      </c>
      <c r="E673" s="45">
        <f t="shared" si="150"/>
        <v>0</v>
      </c>
      <c r="F673" s="45">
        <f t="shared" si="155"/>
        <v>0</v>
      </c>
      <c r="G673" s="79">
        <f t="shared" si="156"/>
        <v>0</v>
      </c>
      <c r="H673" s="199">
        <v>0</v>
      </c>
      <c r="I673" s="199">
        <v>3158</v>
      </c>
      <c r="J673" s="200">
        <f t="shared" si="145"/>
        <v>3158</v>
      </c>
      <c r="K673" s="201">
        <f t="shared" si="130"/>
        <v>3158</v>
      </c>
      <c r="L673" s="43"/>
      <c r="N673" s="153">
        <v>131787</v>
      </c>
      <c r="O673" s="153">
        <v>77156</v>
      </c>
      <c r="P673" s="153">
        <v>5653</v>
      </c>
      <c r="Q673" s="153"/>
      <c r="R673" s="153">
        <v>27896</v>
      </c>
      <c r="S673" s="154">
        <v>5312.4</v>
      </c>
      <c r="T673" s="154"/>
      <c r="U673" s="154"/>
      <c r="V673" s="153">
        <v>193511</v>
      </c>
      <c r="W673" s="153">
        <v>109841</v>
      </c>
      <c r="X673" s="153">
        <v>81624</v>
      </c>
      <c r="Y673" s="153">
        <v>92778</v>
      </c>
      <c r="Z673" s="153">
        <v>149547</v>
      </c>
    </row>
    <row r="674" spans="1:26" ht="18" hidden="1" customHeight="1" x14ac:dyDescent="0.2">
      <c r="A674" s="47">
        <f t="shared" si="128"/>
        <v>43525</v>
      </c>
      <c r="B674" s="47" t="s">
        <v>100</v>
      </c>
      <c r="C674" s="48">
        <f t="shared" si="154"/>
        <v>0</v>
      </c>
      <c r="D674" s="99">
        <f t="shared" si="149"/>
        <v>0</v>
      </c>
      <c r="E674" s="45">
        <f t="shared" si="150"/>
        <v>0</v>
      </c>
      <c r="F674" s="45">
        <f t="shared" si="155"/>
        <v>0</v>
      </c>
      <c r="G674" s="79">
        <f t="shared" si="156"/>
        <v>0</v>
      </c>
      <c r="H674" s="199">
        <v>2226</v>
      </c>
      <c r="I674" s="199">
        <v>833</v>
      </c>
      <c r="J674" s="200">
        <f>H674+I674</f>
        <v>3059</v>
      </c>
      <c r="K674" s="201">
        <f t="shared" si="130"/>
        <v>3059</v>
      </c>
      <c r="L674" s="43"/>
      <c r="N674" s="153">
        <v>131787</v>
      </c>
      <c r="O674" s="153">
        <v>77156</v>
      </c>
      <c r="P674" s="153">
        <v>5653</v>
      </c>
      <c r="Q674" s="153"/>
      <c r="R674" s="153">
        <v>27896</v>
      </c>
      <c r="S674" s="154">
        <v>5312.4</v>
      </c>
      <c r="T674" s="154"/>
      <c r="U674" s="154"/>
      <c r="V674" s="153">
        <v>193511</v>
      </c>
      <c r="W674" s="153">
        <v>109841</v>
      </c>
      <c r="X674" s="153">
        <v>81624</v>
      </c>
      <c r="Y674" s="153">
        <v>92778</v>
      </c>
      <c r="Z674" s="153">
        <v>149547</v>
      </c>
    </row>
    <row r="675" spans="1:26" ht="18" hidden="1" customHeight="1" x14ac:dyDescent="0.2">
      <c r="A675" s="47">
        <f t="shared" si="128"/>
        <v>43526</v>
      </c>
      <c r="B675" s="56" t="s">
        <v>103</v>
      </c>
      <c r="C675" s="48">
        <f t="shared" si="154"/>
        <v>0</v>
      </c>
      <c r="D675" s="99">
        <f t="shared" si="149"/>
        <v>0</v>
      </c>
      <c r="E675" s="45">
        <f t="shared" si="150"/>
        <v>0</v>
      </c>
      <c r="F675" s="45">
        <f t="shared" si="155"/>
        <v>0</v>
      </c>
      <c r="G675" s="79">
        <f t="shared" si="156"/>
        <v>0</v>
      </c>
      <c r="H675" s="199">
        <v>0</v>
      </c>
      <c r="I675" s="199">
        <v>3342</v>
      </c>
      <c r="J675" s="200">
        <f t="shared" ref="J675:J734" si="157">H675+I675</f>
        <v>3342</v>
      </c>
      <c r="K675" s="201">
        <f t="shared" si="130"/>
        <v>3342</v>
      </c>
      <c r="L675" s="43"/>
      <c r="N675" s="153">
        <v>131787</v>
      </c>
      <c r="O675" s="153">
        <v>77156</v>
      </c>
      <c r="P675" s="153">
        <v>5653</v>
      </c>
      <c r="Q675" s="153"/>
      <c r="R675" s="153">
        <v>27896</v>
      </c>
      <c r="S675" s="154">
        <v>5312.4</v>
      </c>
      <c r="T675" s="154"/>
      <c r="U675" s="154"/>
      <c r="V675" s="153">
        <v>193511</v>
      </c>
      <c r="W675" s="153">
        <v>109841</v>
      </c>
      <c r="X675" s="153">
        <v>81624</v>
      </c>
      <c r="Y675" s="153">
        <v>92778</v>
      </c>
      <c r="Z675" s="153">
        <v>149547</v>
      </c>
    </row>
    <row r="676" spans="1:26" ht="18" hidden="1" customHeight="1" x14ac:dyDescent="0.2">
      <c r="A676" s="47">
        <f t="shared" si="128"/>
        <v>43527</v>
      </c>
      <c r="B676" s="56" t="s">
        <v>104</v>
      </c>
      <c r="C676" s="48">
        <f t="shared" si="154"/>
        <v>3871</v>
      </c>
      <c r="D676" s="99">
        <f t="shared" si="149"/>
        <v>6624</v>
      </c>
      <c r="E676" s="45">
        <f t="shared" si="150"/>
        <v>5703.0000000000437</v>
      </c>
      <c r="F676" s="45">
        <f t="shared" si="155"/>
        <v>555</v>
      </c>
      <c r="G676" s="79">
        <f t="shared" si="156"/>
        <v>16753.000000000044</v>
      </c>
      <c r="H676" s="199">
        <v>0</v>
      </c>
      <c r="I676" s="199">
        <v>3104</v>
      </c>
      <c r="J676" s="200">
        <f t="shared" si="157"/>
        <v>3104</v>
      </c>
      <c r="K676" s="201">
        <f t="shared" si="130"/>
        <v>-13649.000000000044</v>
      </c>
      <c r="L676" s="43"/>
      <c r="N676" s="153">
        <v>131787</v>
      </c>
      <c r="O676" s="153">
        <v>77156</v>
      </c>
      <c r="P676" s="153">
        <v>5653</v>
      </c>
      <c r="Q676" s="153"/>
      <c r="R676" s="153">
        <v>27896</v>
      </c>
      <c r="S676" s="154">
        <v>5312.4</v>
      </c>
      <c r="T676" s="154"/>
      <c r="U676" s="154"/>
      <c r="V676" s="153">
        <v>193511</v>
      </c>
      <c r="W676" s="153">
        <v>109841</v>
      </c>
      <c r="X676" s="153">
        <v>81624</v>
      </c>
      <c r="Y676" s="153">
        <v>92778</v>
      </c>
      <c r="Z676" s="153">
        <v>149547</v>
      </c>
    </row>
    <row r="677" spans="1:26" ht="18" hidden="1" customHeight="1" x14ac:dyDescent="0.2">
      <c r="A677" s="47">
        <f t="shared" si="128"/>
        <v>43528</v>
      </c>
      <c r="B677" s="47" t="s">
        <v>96</v>
      </c>
      <c r="C677" s="48">
        <f t="shared" ref="C677:C683" si="158">(V678-V677)*1+(W678-W677)*32+(X678-X677)*12+(Y678-Y677)*6</f>
        <v>2053</v>
      </c>
      <c r="D677" s="99">
        <f t="shared" si="149"/>
        <v>1256</v>
      </c>
      <c r="E677" s="45">
        <f t="shared" si="150"/>
        <v>1090.9999999999563</v>
      </c>
      <c r="F677" s="45">
        <f t="shared" ref="F677:F683" si="159">(Z678-Z677)*1</f>
        <v>109</v>
      </c>
      <c r="G677" s="79">
        <f t="shared" ref="G677:G683" si="160">C677+D677+F677+E677</f>
        <v>4508.9999999999563</v>
      </c>
      <c r="H677" s="199">
        <v>3913</v>
      </c>
      <c r="I677" s="199">
        <v>812</v>
      </c>
      <c r="J677" s="200">
        <f t="shared" si="157"/>
        <v>4725</v>
      </c>
      <c r="K677" s="201">
        <f t="shared" si="130"/>
        <v>216.00000000004366</v>
      </c>
      <c r="L677" s="43"/>
      <c r="N677" s="112">
        <v>132577</v>
      </c>
      <c r="O677" s="112">
        <v>77444</v>
      </c>
      <c r="P677" s="112">
        <v>5691</v>
      </c>
      <c r="Q677" s="112"/>
      <c r="R677" s="112">
        <v>28007</v>
      </c>
      <c r="S677" s="113">
        <v>5359</v>
      </c>
      <c r="T677" s="113"/>
      <c r="U677" s="113"/>
      <c r="V677" s="112">
        <v>194158</v>
      </c>
      <c r="W677" s="112">
        <v>109917</v>
      </c>
      <c r="X677" s="112">
        <v>81690</v>
      </c>
      <c r="Y677" s="112">
        <v>92778</v>
      </c>
      <c r="Z677" s="112">
        <v>150102</v>
      </c>
    </row>
    <row r="678" spans="1:26" ht="18" hidden="1" customHeight="1" x14ac:dyDescent="0.2">
      <c r="A678" s="47">
        <f t="shared" si="128"/>
        <v>43529</v>
      </c>
      <c r="B678" s="47" t="s">
        <v>97</v>
      </c>
      <c r="C678" s="48">
        <f t="shared" si="158"/>
        <v>2221</v>
      </c>
      <c r="D678" s="99">
        <f t="shared" si="149"/>
        <v>1344</v>
      </c>
      <c r="E678" s="45">
        <f t="shared" si="150"/>
        <v>1056.0000000000437</v>
      </c>
      <c r="F678" s="45">
        <f t="shared" si="159"/>
        <v>107</v>
      </c>
      <c r="G678" s="79">
        <f t="shared" si="160"/>
        <v>4728.0000000000437</v>
      </c>
      <c r="H678" s="199">
        <v>4063</v>
      </c>
      <c r="I678" s="199">
        <v>837</v>
      </c>
      <c r="J678" s="200">
        <f t="shared" si="157"/>
        <v>4900</v>
      </c>
      <c r="K678" s="201">
        <f t="shared" si="130"/>
        <v>171.99999999995634</v>
      </c>
      <c r="L678" s="43"/>
      <c r="N678" s="112">
        <v>132727</v>
      </c>
      <c r="O678" s="112">
        <v>77504</v>
      </c>
      <c r="P678" s="112">
        <v>5698</v>
      </c>
      <c r="Q678" s="112"/>
      <c r="R678" s="112">
        <v>28030</v>
      </c>
      <c r="S678" s="113">
        <v>5367.9</v>
      </c>
      <c r="T678" s="113"/>
      <c r="U678" s="113"/>
      <c r="V678" s="112">
        <v>194327</v>
      </c>
      <c r="W678" s="112">
        <v>109947</v>
      </c>
      <c r="X678" s="112">
        <v>81767</v>
      </c>
      <c r="Y678" s="112">
        <v>92778</v>
      </c>
      <c r="Z678" s="112">
        <v>150211</v>
      </c>
    </row>
    <row r="679" spans="1:26" ht="18" hidden="1" customHeight="1" x14ac:dyDescent="0.2">
      <c r="A679" s="47">
        <f t="shared" si="128"/>
        <v>43530</v>
      </c>
      <c r="B679" s="47" t="s">
        <v>98</v>
      </c>
      <c r="C679" s="48">
        <f t="shared" si="158"/>
        <v>2234</v>
      </c>
      <c r="D679" s="99">
        <f t="shared" si="149"/>
        <v>2408</v>
      </c>
      <c r="E679" s="45">
        <f t="shared" si="150"/>
        <v>957.00000000002183</v>
      </c>
      <c r="F679" s="45">
        <f t="shared" si="159"/>
        <v>130</v>
      </c>
      <c r="G679" s="79">
        <f t="shared" si="160"/>
        <v>5729.0000000000218</v>
      </c>
      <c r="H679" s="199">
        <v>4084</v>
      </c>
      <c r="I679" s="199">
        <v>908</v>
      </c>
      <c r="J679" s="200">
        <f t="shared" si="157"/>
        <v>4992</v>
      </c>
      <c r="K679" s="201">
        <f t="shared" si="130"/>
        <v>-737.00000000002183</v>
      </c>
      <c r="L679" s="43"/>
      <c r="N679" s="112">
        <v>132887</v>
      </c>
      <c r="O679" s="112">
        <v>77570</v>
      </c>
      <c r="P679" s="112">
        <v>5706</v>
      </c>
      <c r="Q679" s="112"/>
      <c r="R679" s="112">
        <v>28054</v>
      </c>
      <c r="S679" s="113">
        <v>5376.5</v>
      </c>
      <c r="T679" s="113"/>
      <c r="U679" s="113"/>
      <c r="V679" s="112">
        <v>194492</v>
      </c>
      <c r="W679" s="112">
        <v>109979</v>
      </c>
      <c r="X679" s="112">
        <v>81853</v>
      </c>
      <c r="Y679" s="112">
        <v>92778</v>
      </c>
      <c r="Z679" s="112">
        <v>150318</v>
      </c>
    </row>
    <row r="680" spans="1:26" ht="18" hidden="1" customHeight="1" x14ac:dyDescent="0.2">
      <c r="A680" s="47">
        <f t="shared" ref="A680:A743" si="161">A679+1</f>
        <v>43531</v>
      </c>
      <c r="B680" s="47" t="s">
        <v>99</v>
      </c>
      <c r="C680" s="48">
        <f t="shared" si="158"/>
        <v>2205</v>
      </c>
      <c r="D680" s="99">
        <f t="shared" si="149"/>
        <v>792</v>
      </c>
      <c r="E680" s="45">
        <f t="shared" si="150"/>
        <v>1151.9999999999563</v>
      </c>
      <c r="F680" s="45">
        <f t="shared" si="159"/>
        <v>118</v>
      </c>
      <c r="G680" s="79">
        <f t="shared" si="160"/>
        <v>4266.9999999999563</v>
      </c>
      <c r="H680" s="199">
        <v>4292</v>
      </c>
      <c r="I680" s="199">
        <v>937</v>
      </c>
      <c r="J680" s="200">
        <f t="shared" si="157"/>
        <v>5229</v>
      </c>
      <c r="K680" s="201">
        <f t="shared" ref="K680:K734" si="162">J680-G680</f>
        <v>962.00000000004366</v>
      </c>
      <c r="L680" s="43"/>
      <c r="N680" s="112">
        <v>133177</v>
      </c>
      <c r="O680" s="112">
        <v>77640</v>
      </c>
      <c r="P680" s="112">
        <v>5717</v>
      </c>
      <c r="Q680" s="112"/>
      <c r="R680" s="112">
        <v>28075</v>
      </c>
      <c r="S680" s="113">
        <v>5384.3</v>
      </c>
      <c r="T680" s="113"/>
      <c r="U680" s="113"/>
      <c r="V680" s="112">
        <v>194670</v>
      </c>
      <c r="W680" s="112">
        <v>110011</v>
      </c>
      <c r="X680" s="112">
        <v>81939</v>
      </c>
      <c r="Y680" s="112">
        <v>92778</v>
      </c>
      <c r="Z680" s="112">
        <v>150448</v>
      </c>
    </row>
    <row r="681" spans="1:26" ht="18" hidden="1" customHeight="1" x14ac:dyDescent="0.2">
      <c r="A681" s="47">
        <f t="shared" si="161"/>
        <v>43532</v>
      </c>
      <c r="B681" s="47" t="s">
        <v>100</v>
      </c>
      <c r="C681" s="48">
        <f t="shared" si="158"/>
        <v>0</v>
      </c>
      <c r="D681" s="99">
        <f t="shared" si="149"/>
        <v>0</v>
      </c>
      <c r="E681" s="45">
        <f t="shared" si="150"/>
        <v>0</v>
      </c>
      <c r="F681" s="45">
        <f t="shared" si="159"/>
        <v>0</v>
      </c>
      <c r="G681" s="79">
        <f t="shared" si="160"/>
        <v>0</v>
      </c>
      <c r="H681" s="199">
        <v>4369</v>
      </c>
      <c r="I681" s="199">
        <v>960</v>
      </c>
      <c r="J681" s="200">
        <f t="shared" si="157"/>
        <v>5329</v>
      </c>
      <c r="K681" s="201">
        <f t="shared" si="162"/>
        <v>5329</v>
      </c>
      <c r="L681" s="43"/>
      <c r="N681" s="112">
        <v>133267</v>
      </c>
      <c r="O681" s="112">
        <v>77716</v>
      </c>
      <c r="P681" s="112">
        <v>5726</v>
      </c>
      <c r="Q681" s="112"/>
      <c r="R681" s="112">
        <v>28099</v>
      </c>
      <c r="S681" s="113">
        <v>5393.7</v>
      </c>
      <c r="T681" s="113"/>
      <c r="U681" s="113"/>
      <c r="V681" s="112">
        <v>194847</v>
      </c>
      <c r="W681" s="112">
        <v>110044</v>
      </c>
      <c r="X681" s="112">
        <v>82020</v>
      </c>
      <c r="Y681" s="112">
        <v>92778</v>
      </c>
      <c r="Z681" s="112">
        <v>150566</v>
      </c>
    </row>
    <row r="682" spans="1:26" ht="18" hidden="1" customHeight="1" x14ac:dyDescent="0.2">
      <c r="A682" s="47">
        <f t="shared" si="161"/>
        <v>43533</v>
      </c>
      <c r="B682" s="47" t="s">
        <v>101</v>
      </c>
      <c r="C682" s="48">
        <f t="shared" si="158"/>
        <v>0</v>
      </c>
      <c r="D682" s="99">
        <f t="shared" si="149"/>
        <v>0</v>
      </c>
      <c r="E682" s="45">
        <f t="shared" si="150"/>
        <v>0</v>
      </c>
      <c r="F682" s="45">
        <f t="shared" si="159"/>
        <v>0</v>
      </c>
      <c r="G682" s="79">
        <f t="shared" si="160"/>
        <v>0</v>
      </c>
      <c r="H682" s="199">
        <v>0</v>
      </c>
      <c r="I682" s="199">
        <v>4837</v>
      </c>
      <c r="J682" s="200">
        <f t="shared" si="157"/>
        <v>4837</v>
      </c>
      <c r="K682" s="201">
        <f t="shared" si="162"/>
        <v>4837</v>
      </c>
      <c r="L682" s="43"/>
      <c r="N682" s="153">
        <v>133267</v>
      </c>
      <c r="O682" s="153">
        <v>77716</v>
      </c>
      <c r="P682" s="153">
        <v>5726</v>
      </c>
      <c r="Q682" s="153"/>
      <c r="R682" s="153">
        <v>28099</v>
      </c>
      <c r="S682" s="154">
        <v>5393.7</v>
      </c>
      <c r="T682" s="154"/>
      <c r="U682" s="154"/>
      <c r="V682" s="153">
        <v>194847</v>
      </c>
      <c r="W682" s="153">
        <v>110044</v>
      </c>
      <c r="X682" s="153">
        <v>82020</v>
      </c>
      <c r="Y682" s="153">
        <v>92778</v>
      </c>
      <c r="Z682" s="153">
        <v>150566</v>
      </c>
    </row>
    <row r="683" spans="1:26" ht="18" hidden="1" customHeight="1" x14ac:dyDescent="0.2">
      <c r="A683" s="47">
        <f t="shared" si="161"/>
        <v>43534</v>
      </c>
      <c r="B683" s="47" t="s">
        <v>95</v>
      </c>
      <c r="C683" s="48">
        <f t="shared" si="158"/>
        <v>4949</v>
      </c>
      <c r="D683" s="99">
        <f t="shared" si="149"/>
        <v>4112</v>
      </c>
      <c r="E683" s="45">
        <f t="shared" si="150"/>
        <v>3507.9999999999782</v>
      </c>
      <c r="F683" s="45">
        <f t="shared" si="159"/>
        <v>402</v>
      </c>
      <c r="G683" s="79">
        <f t="shared" si="160"/>
        <v>12970.999999999978</v>
      </c>
      <c r="H683" s="199">
        <v>0</v>
      </c>
      <c r="I683" s="199">
        <v>3139</v>
      </c>
      <c r="J683" s="200">
        <f t="shared" si="157"/>
        <v>3139</v>
      </c>
      <c r="K683" s="201">
        <f t="shared" si="162"/>
        <v>-9831.9999999999782</v>
      </c>
      <c r="L683" s="43"/>
      <c r="N683" s="153">
        <v>133267</v>
      </c>
      <c r="O683" s="153">
        <v>77716</v>
      </c>
      <c r="P683" s="153">
        <v>5726</v>
      </c>
      <c r="Q683" s="153"/>
      <c r="R683" s="153">
        <v>28099</v>
      </c>
      <c r="S683" s="154">
        <v>5393.7</v>
      </c>
      <c r="T683" s="154"/>
      <c r="U683" s="154"/>
      <c r="V683" s="153">
        <v>194847</v>
      </c>
      <c r="W683" s="153">
        <v>110044</v>
      </c>
      <c r="X683" s="153">
        <v>82020</v>
      </c>
      <c r="Y683" s="153">
        <v>92778</v>
      </c>
      <c r="Z683" s="153">
        <v>150566</v>
      </c>
    </row>
    <row r="684" spans="1:26" ht="18" hidden="1" customHeight="1" x14ac:dyDescent="0.2">
      <c r="A684" s="47">
        <f t="shared" si="161"/>
        <v>43535</v>
      </c>
      <c r="B684" s="47" t="s">
        <v>96</v>
      </c>
      <c r="C684" s="48">
        <f t="shared" ref="C684:C690" si="163">(V685-V684)*1+(W685-W684)*32+(X685-X684)*12+(Y685-Y684)*6</f>
        <v>2310</v>
      </c>
      <c r="D684" s="99">
        <f t="shared" si="149"/>
        <v>1688</v>
      </c>
      <c r="E684" s="45">
        <f t="shared" si="150"/>
        <v>1283</v>
      </c>
      <c r="F684" s="45">
        <f t="shared" ref="F684:F690" si="164">(Z685-Z684)*1</f>
        <v>153</v>
      </c>
      <c r="G684" s="79">
        <f t="shared" ref="G684:G690" si="165">C684+D684+F684+E684</f>
        <v>5434</v>
      </c>
      <c r="H684" s="199">
        <v>4539</v>
      </c>
      <c r="I684" s="199">
        <v>972</v>
      </c>
      <c r="J684" s="200">
        <f t="shared" si="157"/>
        <v>5511</v>
      </c>
      <c r="K684" s="201">
        <f t="shared" si="162"/>
        <v>77</v>
      </c>
      <c r="L684" s="43"/>
      <c r="N684" s="112">
        <v>133757</v>
      </c>
      <c r="O684" s="112">
        <v>77896</v>
      </c>
      <c r="P684" s="112">
        <v>5750</v>
      </c>
      <c r="Q684" s="112"/>
      <c r="R684" s="112">
        <v>28163</v>
      </c>
      <c r="S684" s="113">
        <v>5422.4</v>
      </c>
      <c r="T684" s="113"/>
      <c r="U684" s="113"/>
      <c r="V684" s="112">
        <v>195312</v>
      </c>
      <c r="W684" s="112">
        <v>110120</v>
      </c>
      <c r="X684" s="112">
        <v>82191</v>
      </c>
      <c r="Y684" s="112">
        <v>92778</v>
      </c>
      <c r="Z684" s="112">
        <v>150968</v>
      </c>
    </row>
    <row r="685" spans="1:26" ht="18" hidden="1" customHeight="1" x14ac:dyDescent="0.2">
      <c r="A685" s="47">
        <f t="shared" si="161"/>
        <v>43536</v>
      </c>
      <c r="B685" s="47" t="s">
        <v>97</v>
      </c>
      <c r="C685" s="48">
        <f t="shared" si="163"/>
        <v>2224</v>
      </c>
      <c r="D685" s="99">
        <f t="shared" si="149"/>
        <v>1664</v>
      </c>
      <c r="E685" s="45">
        <f t="shared" si="150"/>
        <v>1102</v>
      </c>
      <c r="F685" s="45">
        <f t="shared" si="164"/>
        <v>124</v>
      </c>
      <c r="G685" s="79">
        <f t="shared" si="165"/>
        <v>5114</v>
      </c>
      <c r="H685" s="199">
        <v>4268</v>
      </c>
      <c r="I685" s="199">
        <v>1028</v>
      </c>
      <c r="J685" s="200">
        <f t="shared" si="157"/>
        <v>5296</v>
      </c>
      <c r="K685" s="201">
        <f t="shared" si="162"/>
        <v>182</v>
      </c>
      <c r="L685" s="43"/>
      <c r="N685" s="112">
        <v>133957</v>
      </c>
      <c r="O685" s="112">
        <v>77971</v>
      </c>
      <c r="P685" s="112">
        <v>5761</v>
      </c>
      <c r="Q685" s="112"/>
      <c r="R685" s="112">
        <v>28186</v>
      </c>
      <c r="S685" s="113">
        <v>5432.9</v>
      </c>
      <c r="T685" s="113"/>
      <c r="U685" s="113"/>
      <c r="V685" s="112">
        <v>195478</v>
      </c>
      <c r="W685" s="112">
        <v>110154</v>
      </c>
      <c r="X685" s="112">
        <v>82279</v>
      </c>
      <c r="Y685" s="112">
        <v>92778</v>
      </c>
      <c r="Z685" s="112">
        <v>151121</v>
      </c>
    </row>
    <row r="686" spans="1:26" ht="18" hidden="1" customHeight="1" x14ac:dyDescent="0.2">
      <c r="A686" s="47">
        <f t="shared" si="161"/>
        <v>43537</v>
      </c>
      <c r="B686" s="47" t="s">
        <v>98</v>
      </c>
      <c r="C686" s="48">
        <f t="shared" si="163"/>
        <v>2382</v>
      </c>
      <c r="D686" s="99">
        <f t="shared" si="149"/>
        <v>1840</v>
      </c>
      <c r="E686" s="45">
        <f t="shared" si="150"/>
        <v>1175.0000000000437</v>
      </c>
      <c r="F686" s="45">
        <f t="shared" si="164"/>
        <v>116</v>
      </c>
      <c r="G686" s="79">
        <f t="shared" si="165"/>
        <v>5513.0000000000437</v>
      </c>
      <c r="H686" s="199">
        <v>4574</v>
      </c>
      <c r="I686" s="199">
        <v>1029</v>
      </c>
      <c r="J686" s="200">
        <f t="shared" si="157"/>
        <v>5603</v>
      </c>
      <c r="K686" s="201">
        <f t="shared" si="162"/>
        <v>89.999999999956344</v>
      </c>
      <c r="L686" s="43"/>
      <c r="N686" s="112">
        <v>134157</v>
      </c>
      <c r="O686" s="112">
        <v>78048</v>
      </c>
      <c r="P686" s="112">
        <v>5769</v>
      </c>
      <c r="Q686" s="112"/>
      <c r="R686" s="112">
        <v>28208</v>
      </c>
      <c r="S686" s="113">
        <v>5441.9</v>
      </c>
      <c r="T686" s="113"/>
      <c r="U686" s="113"/>
      <c r="V686" s="112">
        <v>195642</v>
      </c>
      <c r="W686" s="112">
        <v>110188</v>
      </c>
      <c r="X686" s="112">
        <v>82360</v>
      </c>
      <c r="Y686" s="112">
        <v>92778</v>
      </c>
      <c r="Z686" s="112">
        <v>151245</v>
      </c>
    </row>
    <row r="687" spans="1:26" ht="18" hidden="1" customHeight="1" x14ac:dyDescent="0.2">
      <c r="A687" s="47">
        <f t="shared" si="161"/>
        <v>43538</v>
      </c>
      <c r="B687" s="47" t="s">
        <v>99</v>
      </c>
      <c r="C687" s="48">
        <f t="shared" si="163"/>
        <v>2170</v>
      </c>
      <c r="D687" s="99">
        <f t="shared" si="149"/>
        <v>2000</v>
      </c>
      <c r="E687" s="45">
        <f t="shared" si="150"/>
        <v>1126.9999999999782</v>
      </c>
      <c r="F687" s="45">
        <f t="shared" si="164"/>
        <v>109</v>
      </c>
      <c r="G687" s="79">
        <f t="shared" si="165"/>
        <v>5405.9999999999782</v>
      </c>
      <c r="H687" s="199">
        <v>4417</v>
      </c>
      <c r="I687" s="199">
        <v>1085</v>
      </c>
      <c r="J687" s="200">
        <f t="shared" si="157"/>
        <v>5502</v>
      </c>
      <c r="K687" s="201">
        <f t="shared" si="162"/>
        <v>96.000000000021828</v>
      </c>
      <c r="L687" s="43"/>
      <c r="N687" s="112">
        <v>134377</v>
      </c>
      <c r="O687" s="112">
        <v>78134</v>
      </c>
      <c r="P687" s="112">
        <v>5779</v>
      </c>
      <c r="Q687" s="112"/>
      <c r="R687" s="112">
        <v>28231</v>
      </c>
      <c r="S687" s="113">
        <v>5451.5</v>
      </c>
      <c r="T687" s="113"/>
      <c r="U687" s="113"/>
      <c r="V687" s="112">
        <v>195816</v>
      </c>
      <c r="W687" s="112">
        <v>110224</v>
      </c>
      <c r="X687" s="112">
        <v>82448</v>
      </c>
      <c r="Y687" s="112">
        <v>92778</v>
      </c>
      <c r="Z687" s="112">
        <v>151361</v>
      </c>
    </row>
    <row r="688" spans="1:26" ht="18" hidden="1" customHeight="1" x14ac:dyDescent="0.2">
      <c r="A688" s="47">
        <f t="shared" si="161"/>
        <v>43539</v>
      </c>
      <c r="B688" s="47" t="s">
        <v>100</v>
      </c>
      <c r="C688" s="48">
        <f t="shared" si="163"/>
        <v>0</v>
      </c>
      <c r="D688" s="99">
        <f t="shared" si="149"/>
        <v>0</v>
      </c>
      <c r="E688" s="45">
        <f t="shared" si="150"/>
        <v>0</v>
      </c>
      <c r="F688" s="45">
        <f t="shared" si="164"/>
        <v>0</v>
      </c>
      <c r="G688" s="79">
        <f t="shared" si="165"/>
        <v>0</v>
      </c>
      <c r="H688" s="199">
        <v>4188</v>
      </c>
      <c r="I688" s="199">
        <v>1009</v>
      </c>
      <c r="J688" s="200">
        <f t="shared" si="157"/>
        <v>5197</v>
      </c>
      <c r="K688" s="201">
        <f t="shared" si="162"/>
        <v>5197</v>
      </c>
      <c r="L688" s="43"/>
      <c r="N688" s="112">
        <v>134617</v>
      </c>
      <c r="O688" s="112">
        <v>78219</v>
      </c>
      <c r="P688" s="112">
        <v>5789</v>
      </c>
      <c r="Q688" s="112"/>
      <c r="R688" s="112">
        <v>28254</v>
      </c>
      <c r="S688" s="113">
        <v>5460.7</v>
      </c>
      <c r="T688" s="113"/>
      <c r="U688" s="113"/>
      <c r="V688" s="112">
        <v>195990</v>
      </c>
      <c r="W688" s="112">
        <v>110259</v>
      </c>
      <c r="X688" s="112">
        <v>82521</v>
      </c>
      <c r="Y688" s="112">
        <v>92778</v>
      </c>
      <c r="Z688" s="112">
        <v>151470</v>
      </c>
    </row>
    <row r="689" spans="1:26" ht="18" hidden="1" customHeight="1" x14ac:dyDescent="0.2">
      <c r="A689" s="47">
        <f t="shared" si="161"/>
        <v>43540</v>
      </c>
      <c r="B689" s="47" t="s">
        <v>101</v>
      </c>
      <c r="C689" s="48">
        <f t="shared" si="163"/>
        <v>0</v>
      </c>
      <c r="D689" s="99">
        <f t="shared" si="149"/>
        <v>0</v>
      </c>
      <c r="E689" s="45">
        <f t="shared" si="150"/>
        <v>0</v>
      </c>
      <c r="F689" s="45">
        <f t="shared" si="164"/>
        <v>0</v>
      </c>
      <c r="G689" s="79">
        <f t="shared" si="165"/>
        <v>0</v>
      </c>
      <c r="H689" s="199">
        <v>0</v>
      </c>
      <c r="I689" s="199">
        <v>3046</v>
      </c>
      <c r="J689" s="200">
        <f t="shared" si="157"/>
        <v>3046</v>
      </c>
      <c r="K689" s="201">
        <f t="shared" si="162"/>
        <v>3046</v>
      </c>
      <c r="L689" s="43"/>
      <c r="N689" s="153">
        <v>134617</v>
      </c>
      <c r="O689" s="153">
        <v>78219</v>
      </c>
      <c r="P689" s="153">
        <v>5789</v>
      </c>
      <c r="Q689" s="153"/>
      <c r="R689" s="153">
        <v>28254</v>
      </c>
      <c r="S689" s="154">
        <v>5460.7</v>
      </c>
      <c r="T689" s="154"/>
      <c r="U689" s="154"/>
      <c r="V689" s="153">
        <v>195990</v>
      </c>
      <c r="W689" s="153">
        <v>110259</v>
      </c>
      <c r="X689" s="153">
        <v>82521</v>
      </c>
      <c r="Y689" s="153">
        <v>92778</v>
      </c>
      <c r="Z689" s="153">
        <v>151470</v>
      </c>
    </row>
    <row r="690" spans="1:26" ht="18" hidden="1" customHeight="1" x14ac:dyDescent="0.2">
      <c r="A690" s="47">
        <f t="shared" si="161"/>
        <v>43541</v>
      </c>
      <c r="B690" s="47" t="s">
        <v>95</v>
      </c>
      <c r="C690" s="48">
        <f t="shared" si="163"/>
        <v>2900</v>
      </c>
      <c r="D690" s="99">
        <f t="shared" si="149"/>
        <v>2432</v>
      </c>
      <c r="E690" s="45">
        <f t="shared" si="150"/>
        <v>3297</v>
      </c>
      <c r="F690" s="45">
        <f t="shared" si="164"/>
        <v>322</v>
      </c>
      <c r="G690" s="79">
        <f t="shared" si="165"/>
        <v>8951</v>
      </c>
      <c r="H690" s="199">
        <v>0</v>
      </c>
      <c r="I690" s="199">
        <v>3137</v>
      </c>
      <c r="J690" s="200">
        <f t="shared" si="157"/>
        <v>3137</v>
      </c>
      <c r="K690" s="201">
        <f t="shared" si="162"/>
        <v>-5814</v>
      </c>
      <c r="L690" s="43"/>
      <c r="N690" s="153">
        <v>134617</v>
      </c>
      <c r="O690" s="153">
        <v>78219</v>
      </c>
      <c r="P690" s="153">
        <v>5789</v>
      </c>
      <c r="Q690" s="153"/>
      <c r="R690" s="153">
        <v>28254</v>
      </c>
      <c r="S690" s="154">
        <v>5460.7</v>
      </c>
      <c r="T690" s="154"/>
      <c r="U690" s="154"/>
      <c r="V690" s="153">
        <v>195990</v>
      </c>
      <c r="W690" s="153">
        <v>110259</v>
      </c>
      <c r="X690" s="153">
        <v>82521</v>
      </c>
      <c r="Y690" s="153">
        <v>92778</v>
      </c>
      <c r="Z690" s="153">
        <v>151470</v>
      </c>
    </row>
    <row r="691" spans="1:26" ht="18" hidden="1" customHeight="1" x14ac:dyDescent="0.2">
      <c r="A691" s="47">
        <f t="shared" si="161"/>
        <v>43542</v>
      </c>
      <c r="B691" s="47" t="s">
        <v>96</v>
      </c>
      <c r="C691" s="48">
        <f t="shared" ref="C691:C697" si="166">(V692-V691)*1+(W692-W691)*32+(X692-X691)*12+(Y692-Y691)*6</f>
        <v>2299</v>
      </c>
      <c r="D691" s="99">
        <f t="shared" si="149"/>
        <v>3456</v>
      </c>
      <c r="E691" s="45">
        <f t="shared" si="150"/>
        <v>1539.9999999999782</v>
      </c>
      <c r="F691" s="45">
        <f t="shared" ref="F691:F697" si="167">(Z692-Z691)*1</f>
        <v>69</v>
      </c>
      <c r="G691" s="79">
        <f t="shared" ref="G691:G697" si="168">C691+D691+F691+E691</f>
        <v>7363.9999999999782</v>
      </c>
      <c r="H691" s="199">
        <v>4605</v>
      </c>
      <c r="I691" s="199">
        <v>959</v>
      </c>
      <c r="J691" s="200">
        <f t="shared" si="157"/>
        <v>5564</v>
      </c>
      <c r="K691" s="201">
        <f t="shared" si="162"/>
        <v>-1799.9999999999782</v>
      </c>
      <c r="L691" s="43"/>
      <c r="N691" s="112">
        <v>134897</v>
      </c>
      <c r="O691" s="112">
        <v>78405</v>
      </c>
      <c r="P691" s="112">
        <v>5813</v>
      </c>
      <c r="Q691" s="112"/>
      <c r="R691" s="112">
        <v>28311</v>
      </c>
      <c r="S691" s="113">
        <v>5487.7</v>
      </c>
      <c r="T691" s="113"/>
      <c r="U691" s="113"/>
      <c r="V691" s="112">
        <v>196390</v>
      </c>
      <c r="W691" s="112">
        <v>110309</v>
      </c>
      <c r="X691" s="112">
        <v>82596</v>
      </c>
      <c r="Y691" s="112">
        <v>92778</v>
      </c>
      <c r="Z691" s="112">
        <v>151792</v>
      </c>
    </row>
    <row r="692" spans="1:26" ht="18" hidden="1" customHeight="1" x14ac:dyDescent="0.2">
      <c r="A692" s="47">
        <f t="shared" si="161"/>
        <v>43543</v>
      </c>
      <c r="B692" s="47" t="s">
        <v>97</v>
      </c>
      <c r="C692" s="48">
        <f t="shared" si="166"/>
        <v>2158</v>
      </c>
      <c r="D692" s="99">
        <f t="shared" si="149"/>
        <v>1768</v>
      </c>
      <c r="E692" s="45">
        <f t="shared" si="150"/>
        <v>1311.0000000000218</v>
      </c>
      <c r="F692" s="45">
        <f t="shared" si="167"/>
        <v>93</v>
      </c>
      <c r="G692" s="79">
        <f t="shared" si="168"/>
        <v>5330.0000000000218</v>
      </c>
      <c r="H692" s="199">
        <v>4472</v>
      </c>
      <c r="I692" s="199">
        <v>980</v>
      </c>
      <c r="J692" s="200">
        <f t="shared" si="157"/>
        <v>5452</v>
      </c>
      <c r="K692" s="201">
        <f t="shared" si="162"/>
        <v>121.99999999997817</v>
      </c>
      <c r="L692" s="43"/>
      <c r="N692" s="112">
        <v>135318</v>
      </c>
      <c r="O692" s="112">
        <v>78487</v>
      </c>
      <c r="P692" s="112">
        <v>5824</v>
      </c>
      <c r="Q692" s="112"/>
      <c r="R692" s="112">
        <v>28327</v>
      </c>
      <c r="S692" s="113">
        <v>5500.4</v>
      </c>
      <c r="T692" s="113"/>
      <c r="U692" s="113"/>
      <c r="V692" s="112">
        <v>196557</v>
      </c>
      <c r="W692" s="112">
        <v>110343</v>
      </c>
      <c r="X692" s="112">
        <v>82683</v>
      </c>
      <c r="Y692" s="112">
        <v>92778</v>
      </c>
      <c r="Z692" s="112">
        <v>151861</v>
      </c>
    </row>
    <row r="693" spans="1:26" ht="18" hidden="1" customHeight="1" x14ac:dyDescent="0.2">
      <c r="A693" s="47">
        <f t="shared" si="161"/>
        <v>43544</v>
      </c>
      <c r="B693" s="47" t="s">
        <v>98</v>
      </c>
      <c r="C693" s="48">
        <f t="shared" si="166"/>
        <v>2135</v>
      </c>
      <c r="D693" s="99">
        <f t="shared" si="149"/>
        <v>1720</v>
      </c>
      <c r="E693" s="45">
        <f t="shared" si="150"/>
        <v>1232.0000000000437</v>
      </c>
      <c r="F693" s="45">
        <f t="shared" si="167"/>
        <v>81</v>
      </c>
      <c r="G693" s="79">
        <f t="shared" si="168"/>
        <v>5168.0000000000437</v>
      </c>
      <c r="H693" s="199">
        <v>4333</v>
      </c>
      <c r="I693" s="199">
        <v>1015</v>
      </c>
      <c r="J693" s="200">
        <f t="shared" si="157"/>
        <v>5348</v>
      </c>
      <c r="K693" s="201">
        <f t="shared" si="162"/>
        <v>179.99999999995634</v>
      </c>
      <c r="L693" s="43"/>
      <c r="N693" s="112">
        <v>135527</v>
      </c>
      <c r="O693" s="112">
        <v>78566</v>
      </c>
      <c r="P693" s="112">
        <v>5836</v>
      </c>
      <c r="Q693" s="112"/>
      <c r="R693" s="112">
        <v>28342</v>
      </c>
      <c r="S693" s="113">
        <v>5511.2</v>
      </c>
      <c r="T693" s="113"/>
      <c r="U693" s="113"/>
      <c r="V693" s="112">
        <v>196727</v>
      </c>
      <c r="W693" s="112">
        <v>110377</v>
      </c>
      <c r="X693" s="112">
        <v>82758</v>
      </c>
      <c r="Y693" s="112">
        <v>92778</v>
      </c>
      <c r="Z693" s="112">
        <v>151954</v>
      </c>
    </row>
    <row r="694" spans="1:26" ht="18" hidden="1" customHeight="1" x14ac:dyDescent="0.2">
      <c r="A694" s="47">
        <f t="shared" si="161"/>
        <v>43545</v>
      </c>
      <c r="B694" s="47" t="s">
        <v>99</v>
      </c>
      <c r="C694" s="48">
        <f t="shared" si="166"/>
        <v>2112</v>
      </c>
      <c r="D694" s="99">
        <f t="shared" si="149"/>
        <v>1760</v>
      </c>
      <c r="E694" s="45">
        <f t="shared" si="150"/>
        <v>1138.0000000000218</v>
      </c>
      <c r="F694" s="45">
        <f t="shared" si="167"/>
        <v>74</v>
      </c>
      <c r="G694" s="79">
        <f t="shared" si="168"/>
        <v>5084.0000000000218</v>
      </c>
      <c r="H694" s="199">
        <v>4317</v>
      </c>
      <c r="I694" s="199">
        <v>993</v>
      </c>
      <c r="J694" s="200">
        <f t="shared" si="157"/>
        <v>5310</v>
      </c>
      <c r="K694" s="201">
        <f t="shared" si="162"/>
        <v>225.99999999997817</v>
      </c>
      <c r="L694" s="43"/>
      <c r="N694" s="112">
        <v>135737</v>
      </c>
      <c r="O694" s="112">
        <v>78646</v>
      </c>
      <c r="P694" s="112">
        <v>5841</v>
      </c>
      <c r="Q694" s="112"/>
      <c r="R694" s="112">
        <v>28362</v>
      </c>
      <c r="S694" s="113">
        <v>5521.3</v>
      </c>
      <c r="T694" s="113"/>
      <c r="U694" s="113"/>
      <c r="V694" s="112">
        <v>196934</v>
      </c>
      <c r="W694" s="112">
        <v>110411</v>
      </c>
      <c r="X694" s="112">
        <v>82828</v>
      </c>
      <c r="Y694" s="112">
        <v>92778</v>
      </c>
      <c r="Z694" s="112">
        <v>152035</v>
      </c>
    </row>
    <row r="695" spans="1:26" ht="18" hidden="1" customHeight="1" x14ac:dyDescent="0.2">
      <c r="A695" s="47">
        <f t="shared" si="161"/>
        <v>43546</v>
      </c>
      <c r="B695" s="47" t="s">
        <v>100</v>
      </c>
      <c r="C695" s="48">
        <f t="shared" si="166"/>
        <v>0</v>
      </c>
      <c r="D695" s="99">
        <f t="shared" si="149"/>
        <v>0</v>
      </c>
      <c r="E695" s="45">
        <f t="shared" si="150"/>
        <v>0</v>
      </c>
      <c r="F695" s="45">
        <f t="shared" si="167"/>
        <v>0</v>
      </c>
      <c r="G695" s="79">
        <f t="shared" si="168"/>
        <v>0</v>
      </c>
      <c r="H695" s="199">
        <v>4261</v>
      </c>
      <c r="I695" s="199">
        <v>961</v>
      </c>
      <c r="J695" s="200">
        <f t="shared" si="157"/>
        <v>5222</v>
      </c>
      <c r="K695" s="201">
        <f t="shared" si="162"/>
        <v>5222</v>
      </c>
      <c r="L695" s="43"/>
      <c r="N695" s="112">
        <v>135937</v>
      </c>
      <c r="O695" s="112">
        <v>78724</v>
      </c>
      <c r="P695" s="112">
        <v>5861</v>
      </c>
      <c r="Q695" s="112"/>
      <c r="R695" s="112">
        <v>28384</v>
      </c>
      <c r="S695" s="113">
        <v>5530.6</v>
      </c>
      <c r="T695" s="113"/>
      <c r="U695" s="113"/>
      <c r="V695" s="112">
        <v>197126</v>
      </c>
      <c r="W695" s="112">
        <v>110447</v>
      </c>
      <c r="X695" s="112">
        <v>82892</v>
      </c>
      <c r="Y695" s="112">
        <v>92778</v>
      </c>
      <c r="Z695" s="112">
        <v>152109</v>
      </c>
    </row>
    <row r="696" spans="1:26" ht="18" hidden="1" customHeight="1" x14ac:dyDescent="0.2">
      <c r="A696" s="47">
        <f t="shared" si="161"/>
        <v>43547</v>
      </c>
      <c r="B696" s="47" t="s">
        <v>101</v>
      </c>
      <c r="C696" s="48">
        <f t="shared" si="166"/>
        <v>0</v>
      </c>
      <c r="D696" s="99">
        <f t="shared" si="149"/>
        <v>0</v>
      </c>
      <c r="E696" s="45">
        <f t="shared" si="150"/>
        <v>0</v>
      </c>
      <c r="F696" s="45">
        <f t="shared" si="167"/>
        <v>0</v>
      </c>
      <c r="G696" s="79">
        <f t="shared" si="168"/>
        <v>0</v>
      </c>
      <c r="H696" s="199">
        <v>0</v>
      </c>
      <c r="I696" s="199">
        <v>3148</v>
      </c>
      <c r="J696" s="200">
        <f t="shared" si="157"/>
        <v>3148</v>
      </c>
      <c r="K696" s="201">
        <f t="shared" si="162"/>
        <v>3148</v>
      </c>
      <c r="L696" s="43"/>
      <c r="N696" s="153">
        <v>135937</v>
      </c>
      <c r="O696" s="153">
        <v>78724</v>
      </c>
      <c r="P696" s="153">
        <v>5861</v>
      </c>
      <c r="Q696" s="153"/>
      <c r="R696" s="153">
        <v>28384</v>
      </c>
      <c r="S696" s="154">
        <v>5530.6</v>
      </c>
      <c r="T696" s="154"/>
      <c r="U696" s="154"/>
      <c r="V696" s="153">
        <v>197126</v>
      </c>
      <c r="W696" s="153">
        <v>110447</v>
      </c>
      <c r="X696" s="153">
        <v>82892</v>
      </c>
      <c r="Y696" s="153">
        <v>92778</v>
      </c>
      <c r="Z696" s="153">
        <v>152109</v>
      </c>
    </row>
    <row r="697" spans="1:26" ht="18" hidden="1" customHeight="1" x14ac:dyDescent="0.2">
      <c r="A697" s="47">
        <f t="shared" si="161"/>
        <v>43548</v>
      </c>
      <c r="B697" s="47" t="s">
        <v>95</v>
      </c>
      <c r="C697" s="48">
        <f t="shared" si="166"/>
        <v>2990</v>
      </c>
      <c r="D697" s="99">
        <f t="shared" si="149"/>
        <v>4176</v>
      </c>
      <c r="E697" s="45">
        <f t="shared" si="150"/>
        <v>2731.9999999999782</v>
      </c>
      <c r="F697" s="45">
        <f t="shared" si="167"/>
        <v>324</v>
      </c>
      <c r="G697" s="79">
        <f t="shared" si="168"/>
        <v>10221.999999999978</v>
      </c>
      <c r="H697" s="199">
        <v>0</v>
      </c>
      <c r="I697" s="199">
        <v>3368</v>
      </c>
      <c r="J697" s="200">
        <f t="shared" si="157"/>
        <v>3368</v>
      </c>
      <c r="K697" s="201">
        <f t="shared" si="162"/>
        <v>-6853.9999999999782</v>
      </c>
      <c r="L697" s="43"/>
      <c r="N697" s="153">
        <v>135937</v>
      </c>
      <c r="O697" s="153">
        <v>78724</v>
      </c>
      <c r="P697" s="153">
        <v>5861</v>
      </c>
      <c r="Q697" s="153"/>
      <c r="R697" s="153">
        <v>28384</v>
      </c>
      <c r="S697" s="154">
        <v>5530.6</v>
      </c>
      <c r="T697" s="154"/>
      <c r="U697" s="154"/>
      <c r="V697" s="153">
        <v>197126</v>
      </c>
      <c r="W697" s="153">
        <v>110447</v>
      </c>
      <c r="X697" s="153">
        <v>82892</v>
      </c>
      <c r="Y697" s="153">
        <v>92778</v>
      </c>
      <c r="Z697" s="153">
        <v>152109</v>
      </c>
    </row>
    <row r="698" spans="1:26" ht="18" hidden="1" customHeight="1" x14ac:dyDescent="0.2">
      <c r="A698" s="47">
        <f t="shared" si="161"/>
        <v>43549</v>
      </c>
      <c r="B698" s="47" t="s">
        <v>96</v>
      </c>
      <c r="C698" s="48">
        <f t="shared" ref="C698:C704" si="169">(V699-V698)*1+(W699-W698)*32+(X699-X698)*12+(Y699-Y698)*6</f>
        <v>2008</v>
      </c>
      <c r="D698" s="99">
        <f t="shared" si="149"/>
        <v>1752</v>
      </c>
      <c r="E698" s="45">
        <f t="shared" si="150"/>
        <v>1474.9999999999345</v>
      </c>
      <c r="F698" s="45">
        <f t="shared" ref="F698:F704" si="170">(Z699-Z698)*1</f>
        <v>101</v>
      </c>
      <c r="G698" s="79">
        <f t="shared" ref="G698:G704" si="171">C698+D698+F698+E698</f>
        <v>5335.9999999999345</v>
      </c>
      <c r="H698" s="199">
        <v>4456</v>
      </c>
      <c r="I698" s="199">
        <v>1000</v>
      </c>
      <c r="J698" s="200">
        <f t="shared" si="157"/>
        <v>5456</v>
      </c>
      <c r="K698" s="201">
        <f t="shared" si="162"/>
        <v>120.00000000006548</v>
      </c>
      <c r="L698" s="43"/>
      <c r="N698" s="112">
        <v>136437</v>
      </c>
      <c r="O698" s="112">
        <v>78915</v>
      </c>
      <c r="P698" s="112">
        <v>5883</v>
      </c>
      <c r="Q698" s="112"/>
      <c r="R698" s="112">
        <v>28452</v>
      </c>
      <c r="S698" s="113">
        <v>5552.8</v>
      </c>
      <c r="T698" s="113"/>
      <c r="U698" s="113"/>
      <c r="V698" s="112">
        <v>197416</v>
      </c>
      <c r="W698" s="112">
        <v>110501</v>
      </c>
      <c r="X698" s="112">
        <v>82973</v>
      </c>
      <c r="Y698" s="112">
        <v>92778</v>
      </c>
      <c r="Z698" s="112">
        <v>152433</v>
      </c>
    </row>
    <row r="699" spans="1:26" ht="18" hidden="1" customHeight="1" x14ac:dyDescent="0.2">
      <c r="A699" s="47">
        <f t="shared" si="161"/>
        <v>43550</v>
      </c>
      <c r="B699" s="47" t="s">
        <v>97</v>
      </c>
      <c r="C699" s="48">
        <f t="shared" si="169"/>
        <v>2099</v>
      </c>
      <c r="D699" s="99">
        <f t="shared" si="149"/>
        <v>1608</v>
      </c>
      <c r="E699" s="45">
        <f t="shared" si="150"/>
        <v>2470.0000000000655</v>
      </c>
      <c r="F699" s="45">
        <f t="shared" si="170"/>
        <v>91</v>
      </c>
      <c r="G699" s="79">
        <f t="shared" si="171"/>
        <v>6268.0000000000655</v>
      </c>
      <c r="H699" s="199">
        <v>4331</v>
      </c>
      <c r="I699" s="199">
        <v>984</v>
      </c>
      <c r="J699" s="200">
        <f t="shared" si="157"/>
        <v>5315</v>
      </c>
      <c r="K699" s="201">
        <f t="shared" si="162"/>
        <v>-953.00000000006548</v>
      </c>
      <c r="L699" s="43"/>
      <c r="N699" s="112">
        <v>136647</v>
      </c>
      <c r="O699" s="112">
        <v>78996</v>
      </c>
      <c r="P699" s="112">
        <v>5892</v>
      </c>
      <c r="Q699" s="112"/>
      <c r="R699" s="112">
        <v>28475</v>
      </c>
      <c r="S699" s="113">
        <v>5564.9</v>
      </c>
      <c r="T699" s="113"/>
      <c r="U699" s="113"/>
      <c r="V699" s="112">
        <v>197548</v>
      </c>
      <c r="W699" s="112">
        <v>110530</v>
      </c>
      <c r="X699" s="112">
        <v>83052</v>
      </c>
      <c r="Y699" s="112">
        <v>92778</v>
      </c>
      <c r="Z699" s="112">
        <v>152534</v>
      </c>
    </row>
    <row r="700" spans="1:26" ht="18" hidden="1" customHeight="1" x14ac:dyDescent="0.2">
      <c r="A700" s="47">
        <f t="shared" si="161"/>
        <v>43551</v>
      </c>
      <c r="B700" s="47" t="s">
        <v>98</v>
      </c>
      <c r="C700" s="48">
        <f t="shared" si="169"/>
        <v>1911</v>
      </c>
      <c r="D700" s="99">
        <f t="shared" si="149"/>
        <v>1432</v>
      </c>
      <c r="E700" s="45">
        <f t="shared" si="150"/>
        <v>1318.0000000000218</v>
      </c>
      <c r="F700" s="45">
        <f t="shared" si="170"/>
        <v>97</v>
      </c>
      <c r="G700" s="79">
        <f t="shared" si="171"/>
        <v>4758.0000000000218</v>
      </c>
      <c r="H700" s="199">
        <v>4023</v>
      </c>
      <c r="I700" s="199">
        <v>868</v>
      </c>
      <c r="J700" s="200">
        <f t="shared" si="157"/>
        <v>4891</v>
      </c>
      <c r="K700" s="201">
        <f t="shared" si="162"/>
        <v>132.99999999997817</v>
      </c>
      <c r="L700" s="43"/>
      <c r="N700" s="112">
        <v>136837</v>
      </c>
      <c r="O700" s="112">
        <v>79066</v>
      </c>
      <c r="P700" s="112">
        <v>5903</v>
      </c>
      <c r="Q700" s="112"/>
      <c r="R700" s="112">
        <v>28497</v>
      </c>
      <c r="S700" s="113">
        <v>5585.3</v>
      </c>
      <c r="T700" s="113"/>
      <c r="U700" s="113"/>
      <c r="V700" s="112">
        <v>197711</v>
      </c>
      <c r="W700" s="112">
        <v>110562</v>
      </c>
      <c r="X700" s="112">
        <v>83128</v>
      </c>
      <c r="Y700" s="112">
        <v>92778</v>
      </c>
      <c r="Z700" s="112">
        <v>152625</v>
      </c>
    </row>
    <row r="701" spans="1:26" ht="18" hidden="1" customHeight="1" x14ac:dyDescent="0.2">
      <c r="A701" s="47">
        <f t="shared" si="161"/>
        <v>43552</v>
      </c>
      <c r="B701" s="47" t="s">
        <v>99</v>
      </c>
      <c r="C701" s="48">
        <f t="shared" si="169"/>
        <v>2204</v>
      </c>
      <c r="D701" s="99">
        <f t="shared" si="149"/>
        <v>1512</v>
      </c>
      <c r="E701" s="45">
        <f t="shared" si="150"/>
        <v>1113.9999999999345</v>
      </c>
      <c r="F701" s="45">
        <f t="shared" si="170"/>
        <v>70</v>
      </c>
      <c r="G701" s="79">
        <f t="shared" si="171"/>
        <v>4899.9999999999345</v>
      </c>
      <c r="H701" s="199">
        <v>4131</v>
      </c>
      <c r="I701" s="199">
        <v>861</v>
      </c>
      <c r="J701" s="200">
        <f t="shared" si="157"/>
        <v>4992</v>
      </c>
      <c r="K701" s="201">
        <f t="shared" si="162"/>
        <v>92.000000000065484</v>
      </c>
      <c r="L701" s="43"/>
      <c r="N701" s="112">
        <v>137007</v>
      </c>
      <c r="O701" s="112">
        <v>79127</v>
      </c>
      <c r="P701" s="112">
        <v>5912</v>
      </c>
      <c r="Q701" s="112"/>
      <c r="R701" s="112">
        <v>28519</v>
      </c>
      <c r="S701" s="113">
        <v>5596.1</v>
      </c>
      <c r="T701" s="113"/>
      <c r="U701" s="113"/>
      <c r="V701" s="112">
        <v>197890</v>
      </c>
      <c r="W701" s="112">
        <v>110594</v>
      </c>
      <c r="X701" s="112">
        <v>83187</v>
      </c>
      <c r="Y701" s="112">
        <v>92778</v>
      </c>
      <c r="Z701" s="112">
        <v>152722</v>
      </c>
    </row>
    <row r="702" spans="1:26" ht="18" hidden="1" customHeight="1" x14ac:dyDescent="0.2">
      <c r="A702" s="47">
        <f t="shared" si="161"/>
        <v>43553</v>
      </c>
      <c r="B702" s="47" t="s">
        <v>100</v>
      </c>
      <c r="C702" s="48">
        <f t="shared" si="169"/>
        <v>0</v>
      </c>
      <c r="D702" s="99">
        <f t="shared" si="149"/>
        <v>0</v>
      </c>
      <c r="E702" s="45">
        <f t="shared" si="150"/>
        <v>0</v>
      </c>
      <c r="F702" s="45">
        <f t="shared" si="170"/>
        <v>0</v>
      </c>
      <c r="G702" s="79">
        <f t="shared" si="171"/>
        <v>0</v>
      </c>
      <c r="H702" s="199">
        <v>4114</v>
      </c>
      <c r="I702" s="199">
        <v>902</v>
      </c>
      <c r="J702" s="200">
        <f t="shared" si="157"/>
        <v>5016</v>
      </c>
      <c r="K702" s="201">
        <f t="shared" si="162"/>
        <v>5016</v>
      </c>
      <c r="L702" s="43"/>
      <c r="N702" s="112">
        <v>137187</v>
      </c>
      <c r="O702" s="112">
        <v>79194</v>
      </c>
      <c r="P702" s="112">
        <v>5921</v>
      </c>
      <c r="Q702" s="112"/>
      <c r="R702" s="112">
        <v>28541</v>
      </c>
      <c r="S702" s="113">
        <v>5605.2</v>
      </c>
      <c r="T702" s="113"/>
      <c r="U702" s="113"/>
      <c r="V702" s="112">
        <v>198082</v>
      </c>
      <c r="W702" s="112">
        <v>110631</v>
      </c>
      <c r="X702" s="112">
        <v>83256</v>
      </c>
      <c r="Y702" s="112">
        <v>92778</v>
      </c>
      <c r="Z702" s="112">
        <v>152792</v>
      </c>
    </row>
    <row r="703" spans="1:26" ht="18" hidden="1" customHeight="1" x14ac:dyDescent="0.2">
      <c r="A703" s="47">
        <f t="shared" si="161"/>
        <v>43554</v>
      </c>
      <c r="B703" s="56" t="s">
        <v>103</v>
      </c>
      <c r="C703" s="48">
        <f t="shared" si="169"/>
        <v>0</v>
      </c>
      <c r="D703" s="99">
        <f t="shared" si="149"/>
        <v>0</v>
      </c>
      <c r="E703" s="45">
        <f t="shared" si="150"/>
        <v>0</v>
      </c>
      <c r="F703" s="45">
        <f t="shared" si="170"/>
        <v>0</v>
      </c>
      <c r="G703" s="79">
        <f t="shared" si="171"/>
        <v>0</v>
      </c>
      <c r="H703" s="199">
        <v>0</v>
      </c>
      <c r="I703" s="199">
        <v>3211</v>
      </c>
      <c r="J703" s="200">
        <f t="shared" si="157"/>
        <v>3211</v>
      </c>
      <c r="K703" s="201">
        <f t="shared" si="162"/>
        <v>3211</v>
      </c>
      <c r="L703" s="43"/>
      <c r="N703" s="153">
        <v>137187</v>
      </c>
      <c r="O703" s="153">
        <v>79194</v>
      </c>
      <c r="P703" s="153">
        <v>5921</v>
      </c>
      <c r="Q703" s="153"/>
      <c r="R703" s="153">
        <v>28541</v>
      </c>
      <c r="S703" s="154">
        <v>5605.2</v>
      </c>
      <c r="T703" s="154"/>
      <c r="U703" s="154"/>
      <c r="V703" s="153">
        <v>198082</v>
      </c>
      <c r="W703" s="153">
        <v>110631</v>
      </c>
      <c r="X703" s="153">
        <v>83256</v>
      </c>
      <c r="Y703" s="153">
        <v>92778</v>
      </c>
      <c r="Z703" s="153">
        <v>152792</v>
      </c>
    </row>
    <row r="704" spans="1:26" ht="18" hidden="1" customHeight="1" x14ac:dyDescent="0.2">
      <c r="A704" s="47">
        <f t="shared" si="161"/>
        <v>43555</v>
      </c>
      <c r="B704" s="56" t="s">
        <v>104</v>
      </c>
      <c r="C704" s="48">
        <f t="shared" si="169"/>
        <v>2910</v>
      </c>
      <c r="D704" s="99">
        <f t="shared" si="149"/>
        <v>5000</v>
      </c>
      <c r="E704" s="45">
        <f t="shared" si="150"/>
        <v>3693.9999999999782</v>
      </c>
      <c r="F704" s="45">
        <f t="shared" si="170"/>
        <v>255</v>
      </c>
      <c r="G704" s="79">
        <f t="shared" si="171"/>
        <v>11858.999999999978</v>
      </c>
      <c r="H704" s="199">
        <v>0</v>
      </c>
      <c r="I704" s="199">
        <v>3168</v>
      </c>
      <c r="J704" s="200">
        <f t="shared" si="157"/>
        <v>3168</v>
      </c>
      <c r="K704" s="201">
        <f t="shared" si="162"/>
        <v>-8690.9999999999782</v>
      </c>
      <c r="L704" s="43"/>
      <c r="N704" s="153">
        <v>137187</v>
      </c>
      <c r="O704" s="153">
        <v>79194</v>
      </c>
      <c r="P704" s="153">
        <v>5921</v>
      </c>
      <c r="Q704" s="153"/>
      <c r="R704" s="153">
        <v>28541</v>
      </c>
      <c r="S704" s="154">
        <v>5605.2</v>
      </c>
      <c r="T704" s="154"/>
      <c r="U704" s="154"/>
      <c r="V704" s="153">
        <v>198082</v>
      </c>
      <c r="W704" s="153">
        <v>110631</v>
      </c>
      <c r="X704" s="153">
        <v>83256</v>
      </c>
      <c r="Y704" s="153">
        <v>92778</v>
      </c>
      <c r="Z704" s="153">
        <v>152792</v>
      </c>
    </row>
    <row r="705" spans="1:26" ht="18" hidden="1" customHeight="1" x14ac:dyDescent="0.2">
      <c r="A705" s="47">
        <f t="shared" si="161"/>
        <v>43556</v>
      </c>
      <c r="B705" s="47" t="s">
        <v>96</v>
      </c>
      <c r="C705" s="48">
        <f t="shared" ref="C705:C711" si="172">(V706-V705)*1+(W706-W705)*32+(X706-X705)*12+(Y706-Y705)*6</f>
        <v>1987</v>
      </c>
      <c r="D705" s="99">
        <f t="shared" si="149"/>
        <v>2488</v>
      </c>
      <c r="E705" s="45">
        <f t="shared" si="150"/>
        <v>971.00000000006548</v>
      </c>
      <c r="F705" s="45">
        <f t="shared" ref="F705:F711" si="173">(Z706-Z705)*1</f>
        <v>129</v>
      </c>
      <c r="G705" s="79">
        <f t="shared" ref="G705:G711" si="174">C705+D705+F705+E705</f>
        <v>5575.0000000000655</v>
      </c>
      <c r="H705" s="199">
        <v>4367</v>
      </c>
      <c r="I705" s="199">
        <v>993</v>
      </c>
      <c r="J705" s="200">
        <f t="shared" si="157"/>
        <v>5360</v>
      </c>
      <c r="K705" s="201">
        <f t="shared" si="162"/>
        <v>-215.00000000006548</v>
      </c>
      <c r="L705" s="43"/>
      <c r="N705" s="112">
        <v>137787</v>
      </c>
      <c r="O705" s="112">
        <v>79393</v>
      </c>
      <c r="P705" s="112">
        <v>5946</v>
      </c>
      <c r="Q705" s="112"/>
      <c r="R705" s="112">
        <v>28611</v>
      </c>
      <c r="S705" s="113">
        <v>5635.4</v>
      </c>
      <c r="T705" s="113"/>
      <c r="U705" s="113"/>
      <c r="V705" s="112">
        <v>198508</v>
      </c>
      <c r="W705" s="112">
        <v>110682</v>
      </c>
      <c r="X705" s="112">
        <v>83327</v>
      </c>
      <c r="Y705" s="112">
        <v>92778</v>
      </c>
      <c r="Z705" s="112">
        <v>153047</v>
      </c>
    </row>
    <row r="706" spans="1:26" ht="18" hidden="1" customHeight="1" x14ac:dyDescent="0.2">
      <c r="A706" s="47">
        <f t="shared" si="161"/>
        <v>43557</v>
      </c>
      <c r="B706" s="47" t="s">
        <v>97</v>
      </c>
      <c r="C706" s="48">
        <f t="shared" si="172"/>
        <v>1966</v>
      </c>
      <c r="D706" s="99">
        <f t="shared" si="149"/>
        <v>304</v>
      </c>
      <c r="E706" s="45">
        <f t="shared" si="150"/>
        <v>1343</v>
      </c>
      <c r="F706" s="45">
        <f t="shared" si="173"/>
        <v>116</v>
      </c>
      <c r="G706" s="79">
        <f t="shared" si="174"/>
        <v>3729</v>
      </c>
      <c r="H706" s="199">
        <v>4007</v>
      </c>
      <c r="I706" s="199">
        <v>984</v>
      </c>
      <c r="J706" s="200">
        <f t="shared" si="157"/>
        <v>4991</v>
      </c>
      <c r="K706" s="201">
        <f t="shared" si="162"/>
        <v>1262</v>
      </c>
      <c r="L706" s="43"/>
      <c r="N706" s="112">
        <v>138087</v>
      </c>
      <c r="O706" s="112">
        <v>79465</v>
      </c>
      <c r="P706" s="112">
        <v>5957</v>
      </c>
      <c r="Q706" s="112"/>
      <c r="R706" s="112">
        <v>28634</v>
      </c>
      <c r="S706" s="113">
        <v>5643.3</v>
      </c>
      <c r="T706" s="113"/>
      <c r="U706" s="113"/>
      <c r="V706" s="112">
        <v>198679</v>
      </c>
      <c r="W706" s="112">
        <v>110711</v>
      </c>
      <c r="X706" s="112">
        <v>83401</v>
      </c>
      <c r="Y706" s="112">
        <v>92778</v>
      </c>
      <c r="Z706" s="112">
        <v>153176</v>
      </c>
    </row>
    <row r="707" spans="1:26" ht="18" hidden="1" customHeight="1" x14ac:dyDescent="0.2">
      <c r="A707" s="47">
        <f t="shared" si="161"/>
        <v>43558</v>
      </c>
      <c r="B707" s="47" t="s">
        <v>98</v>
      </c>
      <c r="C707" s="48">
        <f t="shared" si="172"/>
        <v>0</v>
      </c>
      <c r="D707" s="99">
        <f t="shared" si="149"/>
        <v>0</v>
      </c>
      <c r="E707" s="45">
        <f t="shared" si="150"/>
        <v>0</v>
      </c>
      <c r="F707" s="45">
        <f t="shared" si="173"/>
        <v>0</v>
      </c>
      <c r="G707" s="79">
        <f t="shared" si="174"/>
        <v>0</v>
      </c>
      <c r="H707" s="199">
        <v>3663</v>
      </c>
      <c r="I707" s="199">
        <v>941</v>
      </c>
      <c r="J707" s="200">
        <f t="shared" si="157"/>
        <v>4604</v>
      </c>
      <c r="K707" s="201">
        <f t="shared" si="162"/>
        <v>4604</v>
      </c>
      <c r="L707" s="43"/>
      <c r="N707" s="112">
        <v>138117</v>
      </c>
      <c r="O707" s="112">
        <v>79544</v>
      </c>
      <c r="P707" s="112">
        <v>5965</v>
      </c>
      <c r="Q707" s="112"/>
      <c r="R707" s="112">
        <v>28657</v>
      </c>
      <c r="S707" s="113">
        <v>5654.3</v>
      </c>
      <c r="T707" s="113"/>
      <c r="U707" s="113"/>
      <c r="V707" s="112">
        <v>198841</v>
      </c>
      <c r="W707" s="112">
        <v>110740</v>
      </c>
      <c r="X707" s="112">
        <v>83474</v>
      </c>
      <c r="Y707" s="112">
        <v>92778</v>
      </c>
      <c r="Z707" s="112">
        <v>153292</v>
      </c>
    </row>
    <row r="708" spans="1:26" ht="18" hidden="1" customHeight="1" x14ac:dyDescent="0.2">
      <c r="A708" s="47">
        <f t="shared" si="161"/>
        <v>43559</v>
      </c>
      <c r="B708" s="47" t="s">
        <v>99</v>
      </c>
      <c r="C708" s="48">
        <f t="shared" si="172"/>
        <v>0</v>
      </c>
      <c r="D708" s="99">
        <f t="shared" si="149"/>
        <v>0</v>
      </c>
      <c r="E708" s="45">
        <f t="shared" si="150"/>
        <v>0</v>
      </c>
      <c r="F708" s="45">
        <f t="shared" si="173"/>
        <v>0</v>
      </c>
      <c r="G708" s="79">
        <f t="shared" si="174"/>
        <v>0</v>
      </c>
      <c r="H708" s="199">
        <v>0</v>
      </c>
      <c r="I708" s="199">
        <v>2754</v>
      </c>
      <c r="J708" s="200">
        <f t="shared" si="157"/>
        <v>2754</v>
      </c>
      <c r="K708" s="201">
        <f t="shared" si="162"/>
        <v>2754</v>
      </c>
      <c r="L708" s="43"/>
      <c r="N708" s="153">
        <v>138117</v>
      </c>
      <c r="O708" s="153">
        <v>79544</v>
      </c>
      <c r="P708" s="153">
        <v>5965</v>
      </c>
      <c r="Q708" s="153"/>
      <c r="R708" s="153">
        <v>28657</v>
      </c>
      <c r="S708" s="154">
        <v>5654.3</v>
      </c>
      <c r="T708" s="154"/>
      <c r="U708" s="154"/>
      <c r="V708" s="153">
        <v>198841</v>
      </c>
      <c r="W708" s="153">
        <v>110740</v>
      </c>
      <c r="X708" s="153">
        <v>83474</v>
      </c>
      <c r="Y708" s="153">
        <v>92778</v>
      </c>
      <c r="Z708" s="153">
        <v>153292</v>
      </c>
    </row>
    <row r="709" spans="1:26" ht="18" hidden="1" customHeight="1" x14ac:dyDescent="0.2">
      <c r="A709" s="47">
        <f t="shared" si="161"/>
        <v>43560</v>
      </c>
      <c r="B709" s="47" t="s">
        <v>100</v>
      </c>
      <c r="C709" s="48">
        <f t="shared" si="172"/>
        <v>0</v>
      </c>
      <c r="D709" s="99">
        <f t="shared" si="149"/>
        <v>0</v>
      </c>
      <c r="E709" s="45">
        <f t="shared" si="150"/>
        <v>0</v>
      </c>
      <c r="F709" s="45">
        <f t="shared" si="173"/>
        <v>0</v>
      </c>
      <c r="G709" s="79">
        <f t="shared" si="174"/>
        <v>0</v>
      </c>
      <c r="H709" s="199">
        <v>0</v>
      </c>
      <c r="I709" s="199">
        <v>2906</v>
      </c>
      <c r="J709" s="200">
        <f t="shared" si="157"/>
        <v>2906</v>
      </c>
      <c r="K709" s="201">
        <f t="shared" si="162"/>
        <v>2906</v>
      </c>
      <c r="L709" s="43"/>
      <c r="N709" s="153">
        <v>138117</v>
      </c>
      <c r="O709" s="153">
        <v>79544</v>
      </c>
      <c r="P709" s="153">
        <v>5965</v>
      </c>
      <c r="Q709" s="153"/>
      <c r="R709" s="153">
        <v>28657</v>
      </c>
      <c r="S709" s="154">
        <v>5654.3</v>
      </c>
      <c r="T709" s="154"/>
      <c r="U709" s="154"/>
      <c r="V709" s="153">
        <v>198841</v>
      </c>
      <c r="W709" s="153">
        <v>110740</v>
      </c>
      <c r="X709" s="153">
        <v>83474</v>
      </c>
      <c r="Y709" s="153">
        <v>92778</v>
      </c>
      <c r="Z709" s="153">
        <v>153292</v>
      </c>
    </row>
    <row r="710" spans="1:26" ht="18" hidden="1" customHeight="1" x14ac:dyDescent="0.2">
      <c r="A710" s="47">
        <f t="shared" si="161"/>
        <v>43561</v>
      </c>
      <c r="B710" s="47" t="s">
        <v>101</v>
      </c>
      <c r="C710" s="48">
        <f t="shared" si="172"/>
        <v>0</v>
      </c>
      <c r="D710" s="99">
        <f t="shared" si="149"/>
        <v>0</v>
      </c>
      <c r="E710" s="45">
        <f t="shared" si="150"/>
        <v>0</v>
      </c>
      <c r="F710" s="45">
        <f t="shared" si="173"/>
        <v>0</v>
      </c>
      <c r="G710" s="79">
        <f t="shared" si="174"/>
        <v>0</v>
      </c>
      <c r="H710" s="199">
        <v>0</v>
      </c>
      <c r="I710" s="199">
        <v>2895</v>
      </c>
      <c r="J710" s="200">
        <f t="shared" si="157"/>
        <v>2895</v>
      </c>
      <c r="K710" s="201">
        <f t="shared" si="162"/>
        <v>2895</v>
      </c>
      <c r="L710" s="43"/>
      <c r="N710" s="153">
        <v>138117</v>
      </c>
      <c r="O710" s="153">
        <v>79544</v>
      </c>
      <c r="P710" s="153">
        <v>5965</v>
      </c>
      <c r="Q710" s="153"/>
      <c r="R710" s="153">
        <v>28657</v>
      </c>
      <c r="S710" s="154">
        <v>5654.3</v>
      </c>
      <c r="T710" s="154"/>
      <c r="U710" s="154"/>
      <c r="V710" s="153">
        <v>198841</v>
      </c>
      <c r="W710" s="153">
        <v>110740</v>
      </c>
      <c r="X710" s="153">
        <v>83474</v>
      </c>
      <c r="Y710" s="153">
        <v>92778</v>
      </c>
      <c r="Z710" s="153">
        <v>153292</v>
      </c>
    </row>
    <row r="711" spans="1:26" ht="18" hidden="1" customHeight="1" x14ac:dyDescent="0.2">
      <c r="A711" s="47">
        <f t="shared" si="161"/>
        <v>43562</v>
      </c>
      <c r="B711" s="47" t="s">
        <v>95</v>
      </c>
      <c r="C711" s="48">
        <f t="shared" si="172"/>
        <v>3063</v>
      </c>
      <c r="D711" s="99">
        <f t="shared" si="149"/>
        <v>6864</v>
      </c>
      <c r="E711" s="45">
        <f t="shared" si="150"/>
        <v>5179.9999999999782</v>
      </c>
      <c r="F711" s="45">
        <f t="shared" si="173"/>
        <v>441</v>
      </c>
      <c r="G711" s="79">
        <f t="shared" si="174"/>
        <v>15547.999999999978</v>
      </c>
      <c r="H711" s="199">
        <v>0</v>
      </c>
      <c r="I711" s="199">
        <v>3071</v>
      </c>
      <c r="J711" s="200">
        <f t="shared" si="157"/>
        <v>3071</v>
      </c>
      <c r="K711" s="201">
        <f t="shared" si="162"/>
        <v>-12476.999999999978</v>
      </c>
      <c r="L711" s="43"/>
      <c r="N711" s="153">
        <v>138117</v>
      </c>
      <c r="O711" s="153">
        <v>79544</v>
      </c>
      <c r="P711" s="153">
        <v>5965</v>
      </c>
      <c r="Q711" s="153"/>
      <c r="R711" s="153">
        <v>28657</v>
      </c>
      <c r="S711" s="154">
        <v>5654.3</v>
      </c>
      <c r="T711" s="154"/>
      <c r="U711" s="154"/>
      <c r="V711" s="153">
        <v>198841</v>
      </c>
      <c r="W711" s="153">
        <v>110740</v>
      </c>
      <c r="X711" s="153">
        <v>83474</v>
      </c>
      <c r="Y711" s="153">
        <v>92778</v>
      </c>
      <c r="Z711" s="153">
        <v>153292</v>
      </c>
    </row>
    <row r="712" spans="1:26" ht="18" hidden="1" customHeight="1" x14ac:dyDescent="0.2">
      <c r="A712" s="47">
        <f t="shared" si="161"/>
        <v>43563</v>
      </c>
      <c r="B712" s="47" t="s">
        <v>96</v>
      </c>
      <c r="C712" s="48">
        <f t="shared" ref="C712:C718" si="175">(V713-V712)*1+(W713-W712)*32+(X713-X712)*12+(Y713-Y712)*6</f>
        <v>1984</v>
      </c>
      <c r="D712" s="99">
        <f t="shared" si="149"/>
        <v>1632</v>
      </c>
      <c r="E712" s="45">
        <f t="shared" si="150"/>
        <v>1188.9999999999782</v>
      </c>
      <c r="F712" s="45">
        <f t="shared" ref="F712:F718" si="176">(Z713-Z712)*1</f>
        <v>57</v>
      </c>
      <c r="G712" s="79">
        <f t="shared" ref="G712:G718" si="177">C712+D712+F712+E712</f>
        <v>4861.9999999999782</v>
      </c>
      <c r="H712" s="199">
        <v>4128</v>
      </c>
      <c r="I712" s="199">
        <v>885</v>
      </c>
      <c r="J712" s="200">
        <f t="shared" si="157"/>
        <v>5013</v>
      </c>
      <c r="K712" s="201">
        <f t="shared" si="162"/>
        <v>151.00000000002183</v>
      </c>
      <c r="L712" s="43"/>
      <c r="N712" s="112">
        <v>138937</v>
      </c>
      <c r="O712" s="112">
        <v>79855</v>
      </c>
      <c r="P712" s="112">
        <v>6003</v>
      </c>
      <c r="Q712" s="112"/>
      <c r="R712" s="112">
        <v>28773</v>
      </c>
      <c r="S712" s="113">
        <v>5696.5</v>
      </c>
      <c r="T712" s="113"/>
      <c r="U712" s="113"/>
      <c r="V712" s="112">
        <v>199260</v>
      </c>
      <c r="W712" s="112">
        <v>110802</v>
      </c>
      <c r="X712" s="112">
        <v>83529</v>
      </c>
      <c r="Y712" s="112">
        <v>92778</v>
      </c>
      <c r="Z712" s="112">
        <v>153733</v>
      </c>
    </row>
    <row r="713" spans="1:26" ht="18" hidden="1" customHeight="1" x14ac:dyDescent="0.2">
      <c r="A713" s="47">
        <f t="shared" si="161"/>
        <v>43564</v>
      </c>
      <c r="B713" s="47" t="s">
        <v>97</v>
      </c>
      <c r="C713" s="48">
        <f t="shared" si="175"/>
        <v>2128</v>
      </c>
      <c r="D713" s="99">
        <f t="shared" si="149"/>
        <v>1600</v>
      </c>
      <c r="E713" s="45">
        <f t="shared" si="150"/>
        <v>912.00000000006548</v>
      </c>
      <c r="F713" s="45">
        <f t="shared" si="176"/>
        <v>59</v>
      </c>
      <c r="G713" s="79">
        <f t="shared" si="177"/>
        <v>4699.0000000000655</v>
      </c>
      <c r="H713" s="199">
        <v>3895</v>
      </c>
      <c r="I713" s="199">
        <v>888</v>
      </c>
      <c r="J713" s="200">
        <f t="shared" si="157"/>
        <v>4783</v>
      </c>
      <c r="K713" s="201">
        <f t="shared" si="162"/>
        <v>83.999999999934516</v>
      </c>
      <c r="L713" s="43"/>
      <c r="N713" s="112">
        <v>139127</v>
      </c>
      <c r="O713" s="112">
        <v>79929</v>
      </c>
      <c r="P713" s="112">
        <v>6017</v>
      </c>
      <c r="Q713" s="112"/>
      <c r="R713" s="112">
        <v>28798</v>
      </c>
      <c r="S713" s="113">
        <v>5706.2</v>
      </c>
      <c r="T713" s="113"/>
      <c r="U713" s="113"/>
      <c r="V713" s="112">
        <v>199464</v>
      </c>
      <c r="W713" s="112">
        <v>110837</v>
      </c>
      <c r="X713" s="112">
        <v>83584</v>
      </c>
      <c r="Y713" s="112">
        <v>92778</v>
      </c>
      <c r="Z713" s="112">
        <v>153790</v>
      </c>
    </row>
    <row r="714" spans="1:26" ht="18" hidden="1" customHeight="1" x14ac:dyDescent="0.2">
      <c r="A714" s="47">
        <f t="shared" si="161"/>
        <v>43565</v>
      </c>
      <c r="B714" s="47" t="s">
        <v>98</v>
      </c>
      <c r="C714" s="48">
        <f t="shared" si="175"/>
        <v>2092</v>
      </c>
      <c r="D714" s="99">
        <f t="shared" si="149"/>
        <v>1616</v>
      </c>
      <c r="E714" s="45">
        <f t="shared" si="150"/>
        <v>1080.9999999999127</v>
      </c>
      <c r="F714" s="45">
        <f t="shared" si="176"/>
        <v>66</v>
      </c>
      <c r="G714" s="79">
        <f t="shared" si="177"/>
        <v>4854.9999999999127</v>
      </c>
      <c r="H714" s="199">
        <v>4221</v>
      </c>
      <c r="I714" s="199">
        <v>890</v>
      </c>
      <c r="J714" s="200">
        <f t="shared" si="157"/>
        <v>5111</v>
      </c>
      <c r="K714" s="201">
        <f t="shared" si="162"/>
        <v>256.00000000008731</v>
      </c>
      <c r="L714" s="43"/>
      <c r="N714" s="112">
        <v>139317</v>
      </c>
      <c r="O714" s="112">
        <v>79996</v>
      </c>
      <c r="P714" s="112">
        <v>6027</v>
      </c>
      <c r="Q714" s="112"/>
      <c r="R714" s="112">
        <v>28822</v>
      </c>
      <c r="S714" s="113">
        <v>5713.6</v>
      </c>
      <c r="T714" s="113"/>
      <c r="U714" s="113"/>
      <c r="V714" s="112">
        <v>199668</v>
      </c>
      <c r="W714" s="112">
        <v>110875</v>
      </c>
      <c r="X714" s="112">
        <v>83643</v>
      </c>
      <c r="Y714" s="112">
        <v>92778</v>
      </c>
      <c r="Z714" s="112">
        <v>153849</v>
      </c>
    </row>
    <row r="715" spans="1:26" ht="18" hidden="1" customHeight="1" x14ac:dyDescent="0.2">
      <c r="A715" s="47">
        <f t="shared" si="161"/>
        <v>43566</v>
      </c>
      <c r="B715" s="47" t="s">
        <v>99</v>
      </c>
      <c r="C715" s="48">
        <f t="shared" si="175"/>
        <v>1972</v>
      </c>
      <c r="D715" s="99">
        <f t="shared" si="149"/>
        <v>1696</v>
      </c>
      <c r="E715" s="45">
        <f t="shared" si="150"/>
        <v>1020.0000000000218</v>
      </c>
      <c r="F715" s="45">
        <f t="shared" si="176"/>
        <v>76</v>
      </c>
      <c r="G715" s="79">
        <f t="shared" si="177"/>
        <v>4764.0000000000218</v>
      </c>
      <c r="H715" s="199">
        <v>3857</v>
      </c>
      <c r="I715" s="199">
        <v>891</v>
      </c>
      <c r="J715" s="200">
        <f t="shared" si="157"/>
        <v>4748</v>
      </c>
      <c r="K715" s="201">
        <f t="shared" si="162"/>
        <v>-16.000000000021828</v>
      </c>
      <c r="L715" s="43"/>
      <c r="N715" s="112">
        <v>139507</v>
      </c>
      <c r="O715" s="112">
        <v>80071</v>
      </c>
      <c r="P715" s="112">
        <v>6039</v>
      </c>
      <c r="Q715" s="112"/>
      <c r="R715" s="112">
        <v>28847</v>
      </c>
      <c r="S715" s="113">
        <v>5722.4</v>
      </c>
      <c r="T715" s="113"/>
      <c r="U715" s="113"/>
      <c r="V715" s="112">
        <v>199828</v>
      </c>
      <c r="W715" s="112">
        <v>110914</v>
      </c>
      <c r="X715" s="112">
        <v>83700</v>
      </c>
      <c r="Y715" s="112">
        <v>92778</v>
      </c>
      <c r="Z715" s="112">
        <v>153915</v>
      </c>
    </row>
    <row r="716" spans="1:26" ht="18" hidden="1" customHeight="1" x14ac:dyDescent="0.2">
      <c r="A716" s="47">
        <f t="shared" si="161"/>
        <v>43567</v>
      </c>
      <c r="B716" s="47" t="s">
        <v>100</v>
      </c>
      <c r="C716" s="48">
        <f t="shared" si="175"/>
        <v>0</v>
      </c>
      <c r="D716" s="99">
        <f t="shared" si="149"/>
        <v>0</v>
      </c>
      <c r="E716" s="45">
        <f t="shared" si="150"/>
        <v>0</v>
      </c>
      <c r="F716" s="45">
        <f t="shared" si="176"/>
        <v>0</v>
      </c>
      <c r="G716" s="79">
        <f t="shared" si="177"/>
        <v>0</v>
      </c>
      <c r="H716" s="199">
        <v>3798</v>
      </c>
      <c r="I716" s="199">
        <v>822</v>
      </c>
      <c r="J716" s="200">
        <f t="shared" si="157"/>
        <v>4620</v>
      </c>
      <c r="K716" s="201">
        <f t="shared" si="162"/>
        <v>4620</v>
      </c>
      <c r="L716" s="43"/>
      <c r="N716" s="112">
        <v>139707</v>
      </c>
      <c r="O716" s="112">
        <v>80145</v>
      </c>
      <c r="P716" s="112">
        <v>6051</v>
      </c>
      <c r="Q716" s="112"/>
      <c r="R716" s="112">
        <v>28871</v>
      </c>
      <c r="S716" s="113">
        <v>5730.7</v>
      </c>
      <c r="T716" s="113"/>
      <c r="U716" s="113"/>
      <c r="V716" s="112">
        <v>199952</v>
      </c>
      <c r="W716" s="112">
        <v>110944</v>
      </c>
      <c r="X716" s="112">
        <v>83774</v>
      </c>
      <c r="Y716" s="112">
        <v>92778</v>
      </c>
      <c r="Z716" s="112">
        <v>153991</v>
      </c>
    </row>
    <row r="717" spans="1:26" ht="18" hidden="1" customHeight="1" x14ac:dyDescent="0.2">
      <c r="A717" s="47">
        <f t="shared" si="161"/>
        <v>43568</v>
      </c>
      <c r="B717" s="47" t="s">
        <v>101</v>
      </c>
      <c r="C717" s="48">
        <f t="shared" si="175"/>
        <v>0</v>
      </c>
      <c r="D717" s="99">
        <f t="shared" si="149"/>
        <v>0</v>
      </c>
      <c r="E717" s="45">
        <f t="shared" si="150"/>
        <v>0</v>
      </c>
      <c r="F717" s="45">
        <f t="shared" si="176"/>
        <v>0</v>
      </c>
      <c r="G717" s="79">
        <f t="shared" si="177"/>
        <v>0</v>
      </c>
      <c r="H717" s="199">
        <v>0</v>
      </c>
      <c r="I717" s="199">
        <v>1787</v>
      </c>
      <c r="J717" s="200">
        <f t="shared" si="157"/>
        <v>1787</v>
      </c>
      <c r="K717" s="201">
        <f t="shared" si="162"/>
        <v>1787</v>
      </c>
      <c r="L717" s="43"/>
      <c r="N717" s="153">
        <v>139707</v>
      </c>
      <c r="O717" s="153">
        <v>80145</v>
      </c>
      <c r="P717" s="153">
        <v>6051</v>
      </c>
      <c r="Q717" s="153"/>
      <c r="R717" s="153">
        <v>28871</v>
      </c>
      <c r="S717" s="154">
        <v>5730.7</v>
      </c>
      <c r="T717" s="154"/>
      <c r="U717" s="154"/>
      <c r="V717" s="153">
        <v>199952</v>
      </c>
      <c r="W717" s="153">
        <v>110944</v>
      </c>
      <c r="X717" s="153">
        <v>83774</v>
      </c>
      <c r="Y717" s="153">
        <v>92778</v>
      </c>
      <c r="Z717" s="153">
        <v>153991</v>
      </c>
    </row>
    <row r="718" spans="1:26" ht="18" hidden="1" customHeight="1" x14ac:dyDescent="0.2">
      <c r="A718" s="47">
        <f t="shared" si="161"/>
        <v>43569</v>
      </c>
      <c r="B718" s="47" t="s">
        <v>95</v>
      </c>
      <c r="C718" s="48">
        <f t="shared" si="175"/>
        <v>2958</v>
      </c>
      <c r="D718" s="99">
        <f t="shared" si="149"/>
        <v>1496</v>
      </c>
      <c r="E718" s="45">
        <f t="shared" si="150"/>
        <v>3418.0000000000655</v>
      </c>
      <c r="F718" s="45">
        <f t="shared" si="176"/>
        <v>266</v>
      </c>
      <c r="G718" s="79">
        <f t="shared" si="177"/>
        <v>8138.0000000000655</v>
      </c>
      <c r="H718" s="199">
        <v>0</v>
      </c>
      <c r="I718" s="199">
        <v>2230</v>
      </c>
      <c r="J718" s="200">
        <f t="shared" si="157"/>
        <v>2230</v>
      </c>
      <c r="K718" s="201">
        <f t="shared" si="162"/>
        <v>-5908.0000000000655</v>
      </c>
      <c r="L718" s="43"/>
      <c r="N718" s="153">
        <v>139707</v>
      </c>
      <c r="O718" s="153">
        <v>80145</v>
      </c>
      <c r="P718" s="153">
        <v>6051</v>
      </c>
      <c r="Q718" s="153"/>
      <c r="R718" s="153">
        <v>28871</v>
      </c>
      <c r="S718" s="154">
        <v>5730.7</v>
      </c>
      <c r="T718" s="154"/>
      <c r="U718" s="154"/>
      <c r="V718" s="153">
        <v>199952</v>
      </c>
      <c r="W718" s="153">
        <v>110944</v>
      </c>
      <c r="X718" s="153">
        <v>83774</v>
      </c>
      <c r="Y718" s="153">
        <v>92778</v>
      </c>
      <c r="Z718" s="153">
        <v>153991</v>
      </c>
    </row>
    <row r="719" spans="1:26" ht="18" hidden="1" customHeight="1" x14ac:dyDescent="0.2">
      <c r="A719" s="47">
        <f t="shared" si="161"/>
        <v>43570</v>
      </c>
      <c r="B719" s="47" t="s">
        <v>96</v>
      </c>
      <c r="C719" s="48">
        <f t="shared" ref="C719:C725" si="178">(V720-V719)*1+(W720-W719)*32+(X720-X719)*12+(Y720-Y719)*6</f>
        <v>2215</v>
      </c>
      <c r="D719" s="99">
        <f t="shared" si="149"/>
        <v>1680</v>
      </c>
      <c r="E719" s="45">
        <f t="shared" si="150"/>
        <v>1438.9999999999127</v>
      </c>
      <c r="F719" s="45">
        <f t="shared" ref="F719:F725" si="179">(Z720-Z719)*1</f>
        <v>77</v>
      </c>
      <c r="G719" s="79">
        <f t="shared" ref="G719:G725" si="180">C719+D719+F719+E719</f>
        <v>5410.9999999999127</v>
      </c>
      <c r="H719" s="199">
        <v>4506</v>
      </c>
      <c r="I719" s="199">
        <v>881</v>
      </c>
      <c r="J719" s="200">
        <f t="shared" si="157"/>
        <v>5387</v>
      </c>
      <c r="K719" s="201">
        <f t="shared" si="162"/>
        <v>-23.999999999912689</v>
      </c>
      <c r="L719" s="43"/>
      <c r="N719" s="112">
        <v>139877</v>
      </c>
      <c r="O719" s="112">
        <v>80214</v>
      </c>
      <c r="P719" s="112">
        <v>6068</v>
      </c>
      <c r="Q719" s="112"/>
      <c r="R719" s="112">
        <v>28941</v>
      </c>
      <c r="S719" s="113">
        <v>5758.6</v>
      </c>
      <c r="T719" s="113"/>
      <c r="U719" s="113"/>
      <c r="V719" s="112">
        <v>200314</v>
      </c>
      <c r="W719" s="112">
        <v>110994</v>
      </c>
      <c r="X719" s="112">
        <v>83857</v>
      </c>
      <c r="Y719" s="112">
        <v>92778</v>
      </c>
      <c r="Z719" s="112">
        <v>154257</v>
      </c>
    </row>
    <row r="720" spans="1:26" ht="18" hidden="1" customHeight="1" x14ac:dyDescent="0.2">
      <c r="A720" s="47">
        <f t="shared" si="161"/>
        <v>43571</v>
      </c>
      <c r="B720" s="47" t="s">
        <v>97</v>
      </c>
      <c r="C720" s="48">
        <f t="shared" si="178"/>
        <v>2031</v>
      </c>
      <c r="D720" s="99">
        <f t="shared" si="149"/>
        <v>1768</v>
      </c>
      <c r="E720" s="45">
        <f t="shared" si="150"/>
        <v>1150.0000000000655</v>
      </c>
      <c r="F720" s="45">
        <f t="shared" si="179"/>
        <v>97</v>
      </c>
      <c r="G720" s="79">
        <f t="shared" si="180"/>
        <v>5046.0000000000655</v>
      </c>
      <c r="H720" s="199">
        <v>4214</v>
      </c>
      <c r="I720" s="199">
        <v>957</v>
      </c>
      <c r="J720" s="200">
        <f t="shared" si="157"/>
        <v>5171</v>
      </c>
      <c r="K720" s="201">
        <f t="shared" si="162"/>
        <v>124.99999999993452</v>
      </c>
      <c r="L720" s="43"/>
      <c r="N720" s="112">
        <v>140077</v>
      </c>
      <c r="O720" s="112">
        <v>80288</v>
      </c>
      <c r="P720" s="112">
        <v>6078</v>
      </c>
      <c r="Q720" s="112"/>
      <c r="R720" s="112">
        <v>28964</v>
      </c>
      <c r="S720" s="113">
        <v>5770.4</v>
      </c>
      <c r="T720" s="113"/>
      <c r="U720" s="113"/>
      <c r="V720" s="112">
        <v>200485</v>
      </c>
      <c r="W720" s="112">
        <v>111026</v>
      </c>
      <c r="X720" s="112">
        <v>83942</v>
      </c>
      <c r="Y720" s="112">
        <v>92778</v>
      </c>
      <c r="Z720" s="112">
        <v>154334</v>
      </c>
    </row>
    <row r="721" spans="1:26" ht="18" hidden="1" customHeight="1" x14ac:dyDescent="0.2">
      <c r="A721" s="47">
        <f t="shared" si="161"/>
        <v>43572</v>
      </c>
      <c r="B721" s="47" t="s">
        <v>98</v>
      </c>
      <c r="C721" s="48">
        <f t="shared" si="178"/>
        <v>2190</v>
      </c>
      <c r="D721" s="99">
        <f t="shared" si="149"/>
        <v>1696</v>
      </c>
      <c r="E721" s="45">
        <f t="shared" si="150"/>
        <v>1031.9999999999563</v>
      </c>
      <c r="F721" s="45">
        <f t="shared" si="179"/>
        <v>77</v>
      </c>
      <c r="G721" s="79">
        <f t="shared" si="180"/>
        <v>4994.9999999999563</v>
      </c>
      <c r="H721" s="199">
        <v>4157</v>
      </c>
      <c r="I721" s="199">
        <v>986</v>
      </c>
      <c r="J721" s="200">
        <f t="shared" si="157"/>
        <v>5143</v>
      </c>
      <c r="K721" s="201">
        <f t="shared" si="162"/>
        <v>148.00000000004366</v>
      </c>
      <c r="L721" s="43"/>
      <c r="N721" s="112">
        <v>140287</v>
      </c>
      <c r="O721" s="112">
        <v>80367</v>
      </c>
      <c r="P721" s="112">
        <v>6089</v>
      </c>
      <c r="Q721" s="112"/>
      <c r="R721" s="112">
        <v>28986</v>
      </c>
      <c r="S721" s="113">
        <v>5779.8</v>
      </c>
      <c r="T721" s="113"/>
      <c r="U721" s="113"/>
      <c r="V721" s="112">
        <v>200656</v>
      </c>
      <c r="W721" s="112">
        <v>111056</v>
      </c>
      <c r="X721" s="112">
        <v>84017</v>
      </c>
      <c r="Y721" s="112">
        <v>92778</v>
      </c>
      <c r="Z721" s="112">
        <v>154431</v>
      </c>
    </row>
    <row r="722" spans="1:26" ht="18" hidden="1" customHeight="1" x14ac:dyDescent="0.2">
      <c r="A722" s="47">
        <f t="shared" si="161"/>
        <v>43573</v>
      </c>
      <c r="B722" s="47" t="s">
        <v>99</v>
      </c>
      <c r="C722" s="48">
        <f t="shared" si="178"/>
        <v>2027</v>
      </c>
      <c r="D722" s="99">
        <f t="shared" si="149"/>
        <v>1672</v>
      </c>
      <c r="E722" s="45">
        <f t="shared" si="150"/>
        <v>1032.0000000000655</v>
      </c>
      <c r="F722" s="45">
        <f t="shared" si="179"/>
        <v>65</v>
      </c>
      <c r="G722" s="79">
        <f t="shared" si="180"/>
        <v>4796.0000000000655</v>
      </c>
      <c r="H722" s="199">
        <v>4125</v>
      </c>
      <c r="I722" s="199">
        <v>989</v>
      </c>
      <c r="J722" s="200">
        <f t="shared" si="157"/>
        <v>5114</v>
      </c>
      <c r="K722" s="201">
        <f t="shared" si="162"/>
        <v>317.99999999993452</v>
      </c>
      <c r="L722" s="43"/>
      <c r="N722" s="112">
        <v>140487</v>
      </c>
      <c r="O722" s="112">
        <v>80445</v>
      </c>
      <c r="P722" s="112">
        <v>6101</v>
      </c>
      <c r="Q722" s="112"/>
      <c r="R722" s="112">
        <v>29010</v>
      </c>
      <c r="S722" s="113">
        <v>5788.2</v>
      </c>
      <c r="T722" s="113"/>
      <c r="U722" s="113"/>
      <c r="V722" s="112">
        <v>200842</v>
      </c>
      <c r="W722" s="112">
        <v>111092</v>
      </c>
      <c r="X722" s="112">
        <v>84088</v>
      </c>
      <c r="Y722" s="112">
        <v>92778</v>
      </c>
      <c r="Z722" s="112">
        <v>154508</v>
      </c>
    </row>
    <row r="723" spans="1:26" ht="18" hidden="1" customHeight="1" x14ac:dyDescent="0.2">
      <c r="A723" s="47">
        <f t="shared" si="161"/>
        <v>43574</v>
      </c>
      <c r="B723" s="47" t="s">
        <v>100</v>
      </c>
      <c r="C723" s="48">
        <f t="shared" si="178"/>
        <v>0</v>
      </c>
      <c r="D723" s="99">
        <f t="shared" si="149"/>
        <v>0</v>
      </c>
      <c r="E723" s="45">
        <f t="shared" si="150"/>
        <v>0</v>
      </c>
      <c r="F723" s="45">
        <f t="shared" si="179"/>
        <v>0</v>
      </c>
      <c r="G723" s="79">
        <f t="shared" si="180"/>
        <v>0</v>
      </c>
      <c r="H723" s="199">
        <v>4071</v>
      </c>
      <c r="I723" s="199">
        <v>898</v>
      </c>
      <c r="J723" s="200">
        <f t="shared" si="157"/>
        <v>4969</v>
      </c>
      <c r="K723" s="201">
        <f t="shared" si="162"/>
        <v>4969</v>
      </c>
      <c r="L723" s="43"/>
      <c r="N723" s="112">
        <v>140687</v>
      </c>
      <c r="O723" s="112">
        <v>80519</v>
      </c>
      <c r="P723" s="112">
        <v>6110</v>
      </c>
      <c r="Q723" s="112"/>
      <c r="R723" s="112">
        <v>29034</v>
      </c>
      <c r="S723" s="113">
        <v>5796.6</v>
      </c>
      <c r="T723" s="113"/>
      <c r="U723" s="113"/>
      <c r="V723" s="112">
        <v>201053</v>
      </c>
      <c r="W723" s="112">
        <v>111127</v>
      </c>
      <c r="X723" s="112">
        <v>84146</v>
      </c>
      <c r="Y723" s="112">
        <v>92778</v>
      </c>
      <c r="Z723" s="112">
        <v>154573</v>
      </c>
    </row>
    <row r="724" spans="1:26" ht="18" hidden="1" customHeight="1" x14ac:dyDescent="0.2">
      <c r="A724" s="47">
        <f t="shared" si="161"/>
        <v>43575</v>
      </c>
      <c r="B724" s="47" t="s">
        <v>101</v>
      </c>
      <c r="C724" s="48">
        <f t="shared" si="178"/>
        <v>0</v>
      </c>
      <c r="D724" s="99">
        <f t="shared" si="149"/>
        <v>0</v>
      </c>
      <c r="E724" s="45">
        <f t="shared" si="150"/>
        <v>0</v>
      </c>
      <c r="F724" s="45">
        <f t="shared" si="179"/>
        <v>0</v>
      </c>
      <c r="G724" s="79">
        <f t="shared" si="180"/>
        <v>0</v>
      </c>
      <c r="H724" s="199">
        <v>0</v>
      </c>
      <c r="I724" s="199">
        <v>2921</v>
      </c>
      <c r="J724" s="200">
        <f t="shared" si="157"/>
        <v>2921</v>
      </c>
      <c r="K724" s="201">
        <f t="shared" si="162"/>
        <v>2921</v>
      </c>
      <c r="L724" s="43"/>
      <c r="N724" s="153">
        <v>140687</v>
      </c>
      <c r="O724" s="153">
        <v>80519</v>
      </c>
      <c r="P724" s="153">
        <v>6110</v>
      </c>
      <c r="Q724" s="153"/>
      <c r="R724" s="153">
        <v>29034</v>
      </c>
      <c r="S724" s="154">
        <v>5796.6</v>
      </c>
      <c r="T724" s="154"/>
      <c r="U724" s="154"/>
      <c r="V724" s="153">
        <v>201053</v>
      </c>
      <c r="W724" s="153">
        <v>111127</v>
      </c>
      <c r="X724" s="153">
        <v>84146</v>
      </c>
      <c r="Y724" s="153">
        <v>92778</v>
      </c>
      <c r="Z724" s="153">
        <v>154573</v>
      </c>
    </row>
    <row r="725" spans="1:26" ht="18" hidden="1" customHeight="1" x14ac:dyDescent="0.2">
      <c r="A725" s="47">
        <f t="shared" si="161"/>
        <v>43576</v>
      </c>
      <c r="B725" s="47" t="s">
        <v>95</v>
      </c>
      <c r="C725" s="48">
        <f t="shared" si="178"/>
        <v>3003</v>
      </c>
      <c r="D725" s="99">
        <f t="shared" ref="D725:D788" si="181">(N726-N725)*8+(P726-P725)*8</f>
        <v>3800</v>
      </c>
      <c r="E725" s="45">
        <f t="shared" ref="E725:E788" si="182">(R726-R725)*1+(S726-S725)*120</f>
        <v>3651.9999999999127</v>
      </c>
      <c r="F725" s="45">
        <f t="shared" si="179"/>
        <v>196</v>
      </c>
      <c r="G725" s="79">
        <f t="shared" si="180"/>
        <v>10650.999999999913</v>
      </c>
      <c r="H725" s="199">
        <v>0</v>
      </c>
      <c r="I725" s="199">
        <v>3123</v>
      </c>
      <c r="J725" s="200">
        <f t="shared" si="157"/>
        <v>3123</v>
      </c>
      <c r="K725" s="201">
        <f t="shared" si="162"/>
        <v>-7527.9999999999127</v>
      </c>
      <c r="L725" s="43"/>
      <c r="N725" s="153">
        <v>140687</v>
      </c>
      <c r="O725" s="153">
        <v>80519</v>
      </c>
      <c r="P725" s="153">
        <v>6110</v>
      </c>
      <c r="Q725" s="153"/>
      <c r="R725" s="153">
        <v>29034</v>
      </c>
      <c r="S725" s="154">
        <v>5796.6</v>
      </c>
      <c r="T725" s="154"/>
      <c r="U725" s="154"/>
      <c r="V725" s="153">
        <v>201053</v>
      </c>
      <c r="W725" s="153">
        <v>111127</v>
      </c>
      <c r="X725" s="153">
        <v>84146</v>
      </c>
      <c r="Y725" s="153">
        <v>92778</v>
      </c>
      <c r="Z725" s="153">
        <v>154573</v>
      </c>
    </row>
    <row r="726" spans="1:26" ht="18" hidden="1" customHeight="1" x14ac:dyDescent="0.2">
      <c r="A726" s="47">
        <f t="shared" si="161"/>
        <v>43577</v>
      </c>
      <c r="B726" s="47" t="s">
        <v>96</v>
      </c>
      <c r="C726" s="48">
        <f t="shared" ref="C726:C732" si="183">(V727-V726)*1+(W727-W726)*32+(X727-X726)*12+(Y727-Y726)*6</f>
        <v>2257</v>
      </c>
      <c r="D726" s="99">
        <f t="shared" si="181"/>
        <v>1648</v>
      </c>
      <c r="E726" s="45">
        <f t="shared" si="182"/>
        <v>1334.0000000000655</v>
      </c>
      <c r="F726" s="45">
        <f t="shared" ref="F726:F732" si="184">(Z727-Z726)*1</f>
        <v>71</v>
      </c>
      <c r="G726" s="79">
        <f t="shared" ref="G726:G732" si="185">C726+D726+F726+E726</f>
        <v>5310.0000000000655</v>
      </c>
      <c r="H726" s="199">
        <v>4463</v>
      </c>
      <c r="I726" s="199">
        <v>901</v>
      </c>
      <c r="J726" s="200">
        <f t="shared" si="157"/>
        <v>5364</v>
      </c>
      <c r="K726" s="201">
        <f t="shared" si="162"/>
        <v>53.999999999934516</v>
      </c>
      <c r="L726" s="43"/>
      <c r="N726" s="112">
        <v>141137</v>
      </c>
      <c r="O726" s="112">
        <v>80694</v>
      </c>
      <c r="P726" s="112">
        <v>6135</v>
      </c>
      <c r="Q726" s="112"/>
      <c r="R726" s="112">
        <v>29110</v>
      </c>
      <c r="S726" s="113">
        <v>5826.4</v>
      </c>
      <c r="T726" s="113"/>
      <c r="U726" s="113"/>
      <c r="V726" s="112">
        <v>201520</v>
      </c>
      <c r="W726" s="112">
        <v>111177</v>
      </c>
      <c r="X726" s="112">
        <v>84224</v>
      </c>
      <c r="Y726" s="112">
        <v>92778</v>
      </c>
      <c r="Z726" s="112">
        <v>154769</v>
      </c>
    </row>
    <row r="727" spans="1:26" ht="18" hidden="1" customHeight="1" x14ac:dyDescent="0.2">
      <c r="A727" s="47">
        <f t="shared" si="161"/>
        <v>43578</v>
      </c>
      <c r="B727" s="47" t="s">
        <v>97</v>
      </c>
      <c r="C727" s="48">
        <f t="shared" si="183"/>
        <v>2455</v>
      </c>
      <c r="D727" s="99">
        <f t="shared" si="181"/>
        <v>1600</v>
      </c>
      <c r="E727" s="45">
        <f t="shared" si="182"/>
        <v>1008.9999999999782</v>
      </c>
      <c r="F727" s="45">
        <f t="shared" si="184"/>
        <v>77</v>
      </c>
      <c r="G727" s="79">
        <f t="shared" si="185"/>
        <v>5140.9999999999782</v>
      </c>
      <c r="H727" s="199">
        <v>4403</v>
      </c>
      <c r="I727" s="199">
        <v>900</v>
      </c>
      <c r="J727" s="200">
        <f t="shared" si="157"/>
        <v>5303</v>
      </c>
      <c r="K727" s="201">
        <f t="shared" si="162"/>
        <v>162.00000000002183</v>
      </c>
      <c r="L727" s="43"/>
      <c r="N727" s="112">
        <v>141327</v>
      </c>
      <c r="O727" s="112">
        <v>80764</v>
      </c>
      <c r="P727" s="112">
        <v>6151</v>
      </c>
      <c r="Q727" s="112"/>
      <c r="R727" s="112">
        <v>29136</v>
      </c>
      <c r="S727" s="113">
        <v>5837.3</v>
      </c>
      <c r="T727" s="113"/>
      <c r="U727" s="113"/>
      <c r="V727" s="112">
        <v>201745</v>
      </c>
      <c r="W727" s="112">
        <v>111218</v>
      </c>
      <c r="X727" s="112">
        <v>84284</v>
      </c>
      <c r="Y727" s="112">
        <v>92778</v>
      </c>
      <c r="Z727" s="112">
        <v>154840</v>
      </c>
    </row>
    <row r="728" spans="1:26" ht="18" hidden="1" customHeight="1" x14ac:dyDescent="0.2">
      <c r="A728" s="47">
        <f t="shared" si="161"/>
        <v>43579</v>
      </c>
      <c r="B728" s="47" t="s">
        <v>98</v>
      </c>
      <c r="C728" s="48">
        <f t="shared" si="183"/>
        <v>2672</v>
      </c>
      <c r="D728" s="99">
        <f t="shared" si="181"/>
        <v>1792</v>
      </c>
      <c r="E728" s="45">
        <f t="shared" si="182"/>
        <v>1140.0000000000218</v>
      </c>
      <c r="F728" s="45">
        <f t="shared" si="184"/>
        <v>94</v>
      </c>
      <c r="G728" s="79">
        <f t="shared" si="185"/>
        <v>5698.0000000000218</v>
      </c>
      <c r="H728" s="199">
        <v>4759</v>
      </c>
      <c r="I728" s="199">
        <v>1011</v>
      </c>
      <c r="J728" s="200">
        <f t="shared" si="157"/>
        <v>5770</v>
      </c>
      <c r="K728" s="201">
        <f t="shared" si="162"/>
        <v>71.999999999978172</v>
      </c>
      <c r="L728" s="43"/>
      <c r="N728" s="112">
        <v>141517</v>
      </c>
      <c r="O728" s="112">
        <v>80838</v>
      </c>
      <c r="P728" s="112">
        <v>6161</v>
      </c>
      <c r="Q728" s="112"/>
      <c r="R728" s="112">
        <v>29161</v>
      </c>
      <c r="S728" s="113">
        <v>5845.5</v>
      </c>
      <c r="T728" s="113"/>
      <c r="U728" s="113"/>
      <c r="V728" s="112">
        <v>201960</v>
      </c>
      <c r="W728" s="112">
        <v>111264</v>
      </c>
      <c r="X728" s="112">
        <v>84348</v>
      </c>
      <c r="Y728" s="112">
        <v>92778</v>
      </c>
      <c r="Z728" s="112">
        <v>154917</v>
      </c>
    </row>
    <row r="729" spans="1:26" ht="18" hidden="1" customHeight="1" x14ac:dyDescent="0.2">
      <c r="A729" s="47">
        <f t="shared" si="161"/>
        <v>43580</v>
      </c>
      <c r="B729" s="47" t="s">
        <v>99</v>
      </c>
      <c r="C729" s="48">
        <f t="shared" si="183"/>
        <v>2448</v>
      </c>
      <c r="D729" s="99">
        <f t="shared" si="181"/>
        <v>1768</v>
      </c>
      <c r="E729" s="45">
        <f t="shared" si="182"/>
        <v>1056.9999999999345</v>
      </c>
      <c r="F729" s="45">
        <f t="shared" si="184"/>
        <v>104</v>
      </c>
      <c r="G729" s="79">
        <f t="shared" si="185"/>
        <v>5376.9999999999345</v>
      </c>
      <c r="H729" s="199">
        <v>4519</v>
      </c>
      <c r="I729" s="199">
        <v>1062</v>
      </c>
      <c r="J729" s="200">
        <f t="shared" si="157"/>
        <v>5581</v>
      </c>
      <c r="K729" s="201">
        <f t="shared" si="162"/>
        <v>204.00000000006548</v>
      </c>
      <c r="L729" s="43"/>
      <c r="N729" s="112">
        <v>141727</v>
      </c>
      <c r="O729" s="112">
        <v>80919</v>
      </c>
      <c r="P729" s="112">
        <v>6175</v>
      </c>
      <c r="Q729" s="112"/>
      <c r="R729" s="112">
        <v>29185</v>
      </c>
      <c r="S729" s="113">
        <v>5854.8</v>
      </c>
      <c r="T729" s="113"/>
      <c r="U729" s="113"/>
      <c r="V729" s="112">
        <v>202204</v>
      </c>
      <c r="W729" s="112">
        <v>111314</v>
      </c>
      <c r="X729" s="112">
        <v>84417</v>
      </c>
      <c r="Y729" s="112">
        <v>92778</v>
      </c>
      <c r="Z729" s="112">
        <v>155011</v>
      </c>
    </row>
    <row r="730" spans="1:26" ht="18" hidden="1" customHeight="1" x14ac:dyDescent="0.2">
      <c r="A730" s="47">
        <f t="shared" si="161"/>
        <v>43581</v>
      </c>
      <c r="B730" s="47" t="s">
        <v>100</v>
      </c>
      <c r="C730" s="48">
        <f t="shared" si="183"/>
        <v>0</v>
      </c>
      <c r="D730" s="99">
        <f t="shared" si="181"/>
        <v>0</v>
      </c>
      <c r="E730" s="45">
        <f t="shared" si="182"/>
        <v>0</v>
      </c>
      <c r="F730" s="45">
        <f t="shared" si="184"/>
        <v>0</v>
      </c>
      <c r="G730" s="79">
        <f t="shared" si="185"/>
        <v>0</v>
      </c>
      <c r="H730" s="199">
        <v>4440</v>
      </c>
      <c r="I730" s="199">
        <v>971</v>
      </c>
      <c r="J730" s="200">
        <f t="shared" si="157"/>
        <v>5411</v>
      </c>
      <c r="K730" s="201">
        <f t="shared" si="162"/>
        <v>5411</v>
      </c>
      <c r="L730" s="43"/>
      <c r="N730" s="112">
        <v>141937</v>
      </c>
      <c r="O730" s="112">
        <v>80998</v>
      </c>
      <c r="P730" s="112">
        <v>6186</v>
      </c>
      <c r="Q730" s="112"/>
      <c r="R730" s="112">
        <v>29210</v>
      </c>
      <c r="S730" s="113">
        <v>5863.4</v>
      </c>
      <c r="T730" s="113"/>
      <c r="U730" s="113"/>
      <c r="V730" s="112">
        <v>202432</v>
      </c>
      <c r="W730" s="112">
        <v>111359</v>
      </c>
      <c r="X730" s="112">
        <v>84482</v>
      </c>
      <c r="Y730" s="112">
        <v>92778</v>
      </c>
      <c r="Z730" s="112">
        <v>155115</v>
      </c>
    </row>
    <row r="731" spans="1:26" ht="18" hidden="1" customHeight="1" x14ac:dyDescent="0.2">
      <c r="A731" s="47">
        <f t="shared" si="161"/>
        <v>43582</v>
      </c>
      <c r="B731" s="56" t="s">
        <v>103</v>
      </c>
      <c r="C731" s="48">
        <f t="shared" si="183"/>
        <v>0</v>
      </c>
      <c r="D731" s="99">
        <f t="shared" si="181"/>
        <v>0</v>
      </c>
      <c r="E731" s="45">
        <f t="shared" si="182"/>
        <v>0</v>
      </c>
      <c r="F731" s="45">
        <f t="shared" si="184"/>
        <v>0</v>
      </c>
      <c r="G731" s="79">
        <f t="shared" si="185"/>
        <v>0</v>
      </c>
      <c r="H731" s="199">
        <v>0</v>
      </c>
      <c r="I731" s="199">
        <v>2969</v>
      </c>
      <c r="J731" s="200">
        <f t="shared" si="157"/>
        <v>2969</v>
      </c>
      <c r="K731" s="201">
        <f t="shared" si="162"/>
        <v>2969</v>
      </c>
      <c r="L731" s="43"/>
      <c r="N731" s="153">
        <v>141937</v>
      </c>
      <c r="O731" s="153">
        <v>80998</v>
      </c>
      <c r="P731" s="153">
        <v>6186</v>
      </c>
      <c r="Q731" s="153"/>
      <c r="R731" s="153">
        <v>29210</v>
      </c>
      <c r="S731" s="154">
        <v>5863.4</v>
      </c>
      <c r="T731" s="154"/>
      <c r="U731" s="154"/>
      <c r="V731" s="153">
        <v>202432</v>
      </c>
      <c r="W731" s="153">
        <v>111359</v>
      </c>
      <c r="X731" s="153">
        <v>84482</v>
      </c>
      <c r="Y731" s="153">
        <v>92778</v>
      </c>
      <c r="Z731" s="153">
        <v>155115</v>
      </c>
    </row>
    <row r="732" spans="1:26" ht="18" hidden="1" customHeight="1" x14ac:dyDescent="0.2">
      <c r="A732" s="47">
        <f t="shared" si="161"/>
        <v>43583</v>
      </c>
      <c r="B732" s="56" t="s">
        <v>104</v>
      </c>
      <c r="C732" s="48">
        <f t="shared" si="183"/>
        <v>3370</v>
      </c>
      <c r="D732" s="99">
        <f t="shared" si="181"/>
        <v>4616</v>
      </c>
      <c r="E732" s="45">
        <f t="shared" si="182"/>
        <v>3544.0000000000655</v>
      </c>
      <c r="F732" s="45">
        <f t="shared" si="184"/>
        <v>267</v>
      </c>
      <c r="G732" s="79">
        <f t="shared" si="185"/>
        <v>11797.000000000065</v>
      </c>
      <c r="H732" s="199">
        <v>0</v>
      </c>
      <c r="I732" s="199">
        <v>2993</v>
      </c>
      <c r="J732" s="200">
        <f t="shared" si="157"/>
        <v>2993</v>
      </c>
      <c r="K732" s="201">
        <f t="shared" si="162"/>
        <v>-8804.0000000000655</v>
      </c>
      <c r="L732" s="43"/>
      <c r="N732" s="153">
        <v>141937</v>
      </c>
      <c r="O732" s="153">
        <v>80998</v>
      </c>
      <c r="P732" s="153">
        <v>6186</v>
      </c>
      <c r="Q732" s="153"/>
      <c r="R732" s="153">
        <v>29210</v>
      </c>
      <c r="S732" s="154">
        <v>5863.4</v>
      </c>
      <c r="T732" s="154"/>
      <c r="U732" s="154"/>
      <c r="V732" s="153">
        <v>202432</v>
      </c>
      <c r="W732" s="153">
        <v>111359</v>
      </c>
      <c r="X732" s="153">
        <v>84482</v>
      </c>
      <c r="Y732" s="153">
        <v>92778</v>
      </c>
      <c r="Z732" s="153">
        <v>155115</v>
      </c>
    </row>
    <row r="733" spans="1:26" ht="18" hidden="1" customHeight="1" x14ac:dyDescent="0.2">
      <c r="A733" s="47">
        <f t="shared" si="161"/>
        <v>43584</v>
      </c>
      <c r="B733" s="47" t="s">
        <v>96</v>
      </c>
      <c r="C733" s="48">
        <f t="shared" ref="C733:C739" si="186">(V734-V733)*1+(W734-W733)*32+(X734-X733)*12+(Y734-Y733)*6</f>
        <v>2061</v>
      </c>
      <c r="D733" s="99">
        <f t="shared" si="181"/>
        <v>1152</v>
      </c>
      <c r="E733" s="45">
        <f t="shared" si="182"/>
        <v>1417.9999999999345</v>
      </c>
      <c r="F733" s="45">
        <f t="shared" ref="F733:F739" si="187">(Z734-Z733)*1</f>
        <v>70</v>
      </c>
      <c r="G733" s="79">
        <f t="shared" ref="G733:G739" si="188">C733+D733+F733+E733</f>
        <v>4700.9999999999345</v>
      </c>
      <c r="H733" s="199">
        <v>4547</v>
      </c>
      <c r="I733" s="199">
        <v>1023</v>
      </c>
      <c r="J733" s="200">
        <f t="shared" si="157"/>
        <v>5570</v>
      </c>
      <c r="K733" s="201">
        <f t="shared" si="162"/>
        <v>869.00000000006548</v>
      </c>
      <c r="L733" s="43"/>
      <c r="N733" s="112">
        <v>142487</v>
      </c>
      <c r="O733" s="112">
        <v>81172</v>
      </c>
      <c r="P733" s="112">
        <v>6213</v>
      </c>
      <c r="Q733" s="112"/>
      <c r="R733" s="112">
        <v>29286</v>
      </c>
      <c r="S733" s="113">
        <v>5892.3</v>
      </c>
      <c r="T733" s="113"/>
      <c r="U733" s="113"/>
      <c r="V733" s="112">
        <v>202874</v>
      </c>
      <c r="W733" s="112">
        <v>111422</v>
      </c>
      <c r="X733" s="112">
        <v>84558</v>
      </c>
      <c r="Y733" s="112">
        <v>92778</v>
      </c>
      <c r="Z733" s="112">
        <v>155382</v>
      </c>
    </row>
    <row r="734" spans="1:26" ht="18" hidden="1" customHeight="1" x14ac:dyDescent="0.2">
      <c r="A734" s="47">
        <f t="shared" si="161"/>
        <v>43585</v>
      </c>
      <c r="B734" s="47" t="s">
        <v>97</v>
      </c>
      <c r="C734" s="48">
        <f t="shared" si="186"/>
        <v>0</v>
      </c>
      <c r="D734" s="99">
        <f t="shared" si="181"/>
        <v>0</v>
      </c>
      <c r="E734" s="45">
        <f t="shared" si="182"/>
        <v>0</v>
      </c>
      <c r="F734" s="45">
        <f t="shared" si="187"/>
        <v>0</v>
      </c>
      <c r="G734" s="79">
        <f t="shared" si="188"/>
        <v>0</v>
      </c>
      <c r="H734" s="199">
        <v>4002</v>
      </c>
      <c r="I734" s="199">
        <v>1025</v>
      </c>
      <c r="J734" s="200">
        <f t="shared" si="157"/>
        <v>5027</v>
      </c>
      <c r="K734" s="201">
        <f t="shared" si="162"/>
        <v>5027</v>
      </c>
      <c r="L734" s="43"/>
      <c r="N734" s="112">
        <v>142617</v>
      </c>
      <c r="O734" s="112">
        <v>81263</v>
      </c>
      <c r="P734" s="112">
        <v>6227</v>
      </c>
      <c r="Q734" s="112"/>
      <c r="R734" s="112">
        <v>29312</v>
      </c>
      <c r="S734" s="113">
        <v>5903.9</v>
      </c>
      <c r="T734" s="113"/>
      <c r="U734" s="113"/>
      <c r="V734" s="112">
        <v>203071</v>
      </c>
      <c r="W734" s="112">
        <v>111460</v>
      </c>
      <c r="X734" s="112">
        <v>84612</v>
      </c>
      <c r="Y734" s="112">
        <v>92778</v>
      </c>
      <c r="Z734" s="112">
        <v>155452</v>
      </c>
    </row>
    <row r="735" spans="1:26" ht="18" hidden="1" customHeight="1" x14ac:dyDescent="0.2">
      <c r="A735" s="47">
        <f t="shared" si="161"/>
        <v>43586</v>
      </c>
      <c r="B735" s="47" t="s">
        <v>98</v>
      </c>
      <c r="C735" s="48">
        <f t="shared" si="186"/>
        <v>2478</v>
      </c>
      <c r="D735" s="99">
        <f t="shared" si="181"/>
        <v>2960</v>
      </c>
      <c r="E735" s="45">
        <f t="shared" si="182"/>
        <v>2182.0000000000218</v>
      </c>
      <c r="F735" s="45">
        <f t="shared" si="187"/>
        <v>156</v>
      </c>
      <c r="G735" s="79">
        <f t="shared" si="188"/>
        <v>7776.0000000000218</v>
      </c>
      <c r="H735" s="199">
        <v>0</v>
      </c>
      <c r="I735" s="199">
        <v>3083</v>
      </c>
      <c r="J735" s="200">
        <f t="shared" ref="J735:J765" si="189">H735+I735</f>
        <v>3083</v>
      </c>
      <c r="K735" s="201">
        <f t="shared" ref="K735:K765" si="190">J735-G735</f>
        <v>-4693.0000000000218</v>
      </c>
      <c r="L735" s="43"/>
      <c r="N735" s="153">
        <v>142617</v>
      </c>
      <c r="O735" s="153">
        <v>81263</v>
      </c>
      <c r="P735" s="153">
        <v>6227</v>
      </c>
      <c r="Q735" s="153"/>
      <c r="R735" s="153">
        <v>29312</v>
      </c>
      <c r="S735" s="154">
        <v>5903.9</v>
      </c>
      <c r="T735" s="154"/>
      <c r="U735" s="154"/>
      <c r="V735" s="153">
        <v>203071</v>
      </c>
      <c r="W735" s="153">
        <v>111460</v>
      </c>
      <c r="X735" s="153">
        <v>84612</v>
      </c>
      <c r="Y735" s="153">
        <v>92778</v>
      </c>
      <c r="Z735" s="153">
        <v>155452</v>
      </c>
    </row>
    <row r="736" spans="1:26" ht="18" hidden="1" customHeight="1" x14ac:dyDescent="0.2">
      <c r="A736" s="47">
        <f t="shared" si="161"/>
        <v>43587</v>
      </c>
      <c r="B736" s="47" t="s">
        <v>99</v>
      </c>
      <c r="C736" s="48">
        <f t="shared" si="186"/>
        <v>2257</v>
      </c>
      <c r="D736" s="99">
        <f t="shared" si="181"/>
        <v>1856</v>
      </c>
      <c r="E736" s="45">
        <f t="shared" si="182"/>
        <v>1175.0000000000437</v>
      </c>
      <c r="F736" s="45">
        <f t="shared" si="187"/>
        <v>82</v>
      </c>
      <c r="G736" s="79">
        <f t="shared" si="188"/>
        <v>5370.0000000000437</v>
      </c>
      <c r="H736" s="199">
        <v>4606</v>
      </c>
      <c r="I736" s="199">
        <v>992</v>
      </c>
      <c r="J736" s="200">
        <f t="shared" si="189"/>
        <v>5598</v>
      </c>
      <c r="K736" s="201">
        <f t="shared" si="190"/>
        <v>227.99999999995634</v>
      </c>
      <c r="L736" s="43"/>
      <c r="N736" s="112">
        <v>142967</v>
      </c>
      <c r="O736" s="112">
        <v>81391</v>
      </c>
      <c r="P736" s="112">
        <v>6247</v>
      </c>
      <c r="Q736" s="112"/>
      <c r="R736" s="112">
        <v>29358</v>
      </c>
      <c r="S736" s="113">
        <v>5921.7</v>
      </c>
      <c r="T736" s="113"/>
      <c r="U736" s="113"/>
      <c r="V736" s="112">
        <v>203381</v>
      </c>
      <c r="W736" s="112">
        <v>111506</v>
      </c>
      <c r="X736" s="112">
        <v>84670</v>
      </c>
      <c r="Y736" s="112">
        <v>92778</v>
      </c>
      <c r="Z736" s="112">
        <v>155608</v>
      </c>
    </row>
    <row r="737" spans="1:26" ht="18" hidden="1" customHeight="1" x14ac:dyDescent="0.2">
      <c r="A737" s="47">
        <f t="shared" si="161"/>
        <v>43588</v>
      </c>
      <c r="B737" s="47" t="s">
        <v>100</v>
      </c>
      <c r="C737" s="48">
        <f t="shared" si="186"/>
        <v>0</v>
      </c>
      <c r="D737" s="99">
        <f t="shared" si="181"/>
        <v>0</v>
      </c>
      <c r="E737" s="45">
        <f t="shared" si="182"/>
        <v>0</v>
      </c>
      <c r="F737" s="45">
        <f t="shared" si="187"/>
        <v>0</v>
      </c>
      <c r="G737" s="79">
        <f t="shared" si="188"/>
        <v>0</v>
      </c>
      <c r="H737" s="199">
        <v>4695</v>
      </c>
      <c r="I737" s="199">
        <v>924</v>
      </c>
      <c r="J737" s="200">
        <f t="shared" si="189"/>
        <v>5619</v>
      </c>
      <c r="K737" s="201">
        <f t="shared" si="190"/>
        <v>5619</v>
      </c>
      <c r="L737" s="43"/>
      <c r="N737" s="112">
        <v>143187</v>
      </c>
      <c r="O737" s="112">
        <v>81473</v>
      </c>
      <c r="P737" s="112">
        <v>6259</v>
      </c>
      <c r="Q737" s="112"/>
      <c r="R737" s="112">
        <v>29381</v>
      </c>
      <c r="S737" s="113">
        <v>5931.3</v>
      </c>
      <c r="T737" s="113"/>
      <c r="U737" s="113"/>
      <c r="V737" s="112">
        <v>203546</v>
      </c>
      <c r="W737" s="112">
        <v>111541</v>
      </c>
      <c r="X737" s="112">
        <v>84751</v>
      </c>
      <c r="Y737" s="112">
        <v>92778</v>
      </c>
      <c r="Z737" s="112">
        <v>155690</v>
      </c>
    </row>
    <row r="738" spans="1:26" ht="18" hidden="1" customHeight="1" x14ac:dyDescent="0.2">
      <c r="A738" s="47">
        <f t="shared" si="161"/>
        <v>43589</v>
      </c>
      <c r="B738" s="56" t="s">
        <v>103</v>
      </c>
      <c r="C738" s="48">
        <f t="shared" si="186"/>
        <v>0</v>
      </c>
      <c r="D738" s="99">
        <f t="shared" si="181"/>
        <v>0</v>
      </c>
      <c r="E738" s="45">
        <f t="shared" si="182"/>
        <v>0</v>
      </c>
      <c r="F738" s="45">
        <f t="shared" si="187"/>
        <v>0</v>
      </c>
      <c r="G738" s="79">
        <f t="shared" si="188"/>
        <v>0</v>
      </c>
      <c r="H738" s="199">
        <v>0</v>
      </c>
      <c r="I738" s="199">
        <f>2321-740</f>
        <v>1581</v>
      </c>
      <c r="J738" s="200">
        <f t="shared" si="189"/>
        <v>1581</v>
      </c>
      <c r="K738" s="201">
        <f t="shared" si="190"/>
        <v>1581</v>
      </c>
      <c r="L738" s="43"/>
      <c r="N738" s="153">
        <v>143187</v>
      </c>
      <c r="O738" s="153">
        <v>81473</v>
      </c>
      <c r="P738" s="153">
        <v>6259</v>
      </c>
      <c r="Q738" s="153"/>
      <c r="R738" s="153">
        <v>29381</v>
      </c>
      <c r="S738" s="154">
        <v>5931.3</v>
      </c>
      <c r="T738" s="154"/>
      <c r="U738" s="154"/>
      <c r="V738" s="153">
        <v>203546</v>
      </c>
      <c r="W738" s="153">
        <v>111541</v>
      </c>
      <c r="X738" s="153">
        <v>84751</v>
      </c>
      <c r="Y738" s="153">
        <v>92778</v>
      </c>
      <c r="Z738" s="153">
        <v>155690</v>
      </c>
    </row>
    <row r="739" spans="1:26" ht="18" hidden="1" customHeight="1" x14ac:dyDescent="0.2">
      <c r="A739" s="47">
        <f t="shared" si="161"/>
        <v>43590</v>
      </c>
      <c r="B739" s="56" t="s">
        <v>104</v>
      </c>
      <c r="C739" s="48">
        <f t="shared" si="186"/>
        <v>3377</v>
      </c>
      <c r="D739" s="99">
        <f t="shared" si="181"/>
        <v>3920</v>
      </c>
      <c r="E739" s="45">
        <f t="shared" si="182"/>
        <v>3806.9999999999345</v>
      </c>
      <c r="F739" s="45">
        <f t="shared" si="187"/>
        <v>3</v>
      </c>
      <c r="G739" s="79">
        <f t="shared" si="188"/>
        <v>11106.999999999935</v>
      </c>
      <c r="H739" s="199">
        <v>0</v>
      </c>
      <c r="I739" s="199">
        <v>3058</v>
      </c>
      <c r="J739" s="200">
        <f t="shared" si="189"/>
        <v>3058</v>
      </c>
      <c r="K739" s="201">
        <f t="shared" si="190"/>
        <v>-8048.9999999999345</v>
      </c>
      <c r="L739" s="43"/>
      <c r="N739" s="153">
        <v>143187</v>
      </c>
      <c r="O739" s="153">
        <v>81473</v>
      </c>
      <c r="P739" s="153">
        <v>6259</v>
      </c>
      <c r="Q739" s="153"/>
      <c r="R739" s="153">
        <v>29381</v>
      </c>
      <c r="S739" s="154">
        <v>5931.3</v>
      </c>
      <c r="T739" s="154"/>
      <c r="U739" s="154"/>
      <c r="V739" s="153">
        <v>203546</v>
      </c>
      <c r="W739" s="153">
        <v>111541</v>
      </c>
      <c r="X739" s="153">
        <v>84751</v>
      </c>
      <c r="Y739" s="153">
        <v>92778</v>
      </c>
      <c r="Z739" s="153">
        <v>155690</v>
      </c>
    </row>
    <row r="740" spans="1:26" ht="18" hidden="1" customHeight="1" x14ac:dyDescent="0.2">
      <c r="A740" s="47">
        <f t="shared" si="161"/>
        <v>43591</v>
      </c>
      <c r="B740" s="47" t="s">
        <v>96</v>
      </c>
      <c r="C740" s="48">
        <f t="shared" ref="C740:C746" si="191">(V741-V740)*1+(W741-W740)*32+(X741-X740)*12+(Y741-Y740)*6</f>
        <v>2374</v>
      </c>
      <c r="D740" s="99">
        <f t="shared" si="181"/>
        <v>1856</v>
      </c>
      <c r="E740" s="45">
        <f t="shared" si="182"/>
        <v>1270.0000000000655</v>
      </c>
      <c r="F740" s="45">
        <f t="shared" ref="F740:F746" si="192">(Z741-Z740)*1</f>
        <v>346</v>
      </c>
      <c r="G740" s="79">
        <f t="shared" ref="G740:G746" si="193">C740+D740+F740+E740</f>
        <v>5846.0000000000655</v>
      </c>
      <c r="H740" s="199">
        <v>4677</v>
      </c>
      <c r="I740" s="199">
        <v>990</v>
      </c>
      <c r="J740" s="200">
        <f t="shared" si="189"/>
        <v>5667</v>
      </c>
      <c r="K740" s="201">
        <f t="shared" si="190"/>
        <v>-179.00000000006548</v>
      </c>
      <c r="L740" s="43"/>
      <c r="N740" s="112">
        <v>143657</v>
      </c>
      <c r="O740" s="112">
        <v>81651</v>
      </c>
      <c r="P740" s="112">
        <v>6279</v>
      </c>
      <c r="Q740" s="112"/>
      <c r="R740" s="112">
        <v>29456</v>
      </c>
      <c r="S740" s="113">
        <v>5962.4</v>
      </c>
      <c r="T740" s="113"/>
      <c r="U740" s="113"/>
      <c r="V740" s="112">
        <v>203955</v>
      </c>
      <c r="W740" s="112">
        <v>111600</v>
      </c>
      <c r="X740" s="112">
        <v>84841</v>
      </c>
      <c r="Y740" s="112">
        <v>92778</v>
      </c>
      <c r="Z740" s="112">
        <v>155693</v>
      </c>
    </row>
    <row r="741" spans="1:26" ht="18" hidden="1" customHeight="1" x14ac:dyDescent="0.2">
      <c r="A741" s="47">
        <f t="shared" si="161"/>
        <v>43592</v>
      </c>
      <c r="B741" s="47" t="s">
        <v>97</v>
      </c>
      <c r="C741" s="48">
        <f t="shared" si="191"/>
        <v>2147</v>
      </c>
      <c r="D741" s="99">
        <f t="shared" si="181"/>
        <v>1984</v>
      </c>
      <c r="E741" s="45">
        <f t="shared" si="182"/>
        <v>884.99999999997817</v>
      </c>
      <c r="F741" s="45">
        <f t="shared" si="192"/>
        <v>87</v>
      </c>
      <c r="G741" s="79">
        <f t="shared" si="193"/>
        <v>5102.9999999999782</v>
      </c>
      <c r="H741" s="199">
        <v>4200</v>
      </c>
      <c r="I741" s="199">
        <v>1048</v>
      </c>
      <c r="J741" s="200">
        <f t="shared" si="189"/>
        <v>5248</v>
      </c>
      <c r="K741" s="201">
        <f t="shared" si="190"/>
        <v>145.00000000002183</v>
      </c>
      <c r="L741" s="43"/>
      <c r="N741" s="112">
        <v>143877</v>
      </c>
      <c r="O741" s="112">
        <v>81737</v>
      </c>
      <c r="P741" s="112">
        <v>6291</v>
      </c>
      <c r="Q741" s="112"/>
      <c r="R741" s="112">
        <v>29478</v>
      </c>
      <c r="S741" s="113">
        <v>5972.8</v>
      </c>
      <c r="T741" s="113"/>
      <c r="U741" s="113"/>
      <c r="V741" s="112">
        <v>204121</v>
      </c>
      <c r="W741" s="112">
        <v>111636</v>
      </c>
      <c r="X741" s="112">
        <v>84929</v>
      </c>
      <c r="Y741" s="112">
        <v>92778</v>
      </c>
      <c r="Z741" s="112">
        <v>156039</v>
      </c>
    </row>
    <row r="742" spans="1:26" ht="18" hidden="1" customHeight="1" x14ac:dyDescent="0.2">
      <c r="A742" s="47">
        <f t="shared" si="161"/>
        <v>43593</v>
      </c>
      <c r="B742" s="47" t="s">
        <v>98</v>
      </c>
      <c r="C742" s="48">
        <f t="shared" si="191"/>
        <v>1814</v>
      </c>
      <c r="D742" s="99">
        <f t="shared" si="181"/>
        <v>2120</v>
      </c>
      <c r="E742" s="45">
        <f t="shared" si="182"/>
        <v>1104</v>
      </c>
      <c r="F742" s="45">
        <f t="shared" si="192"/>
        <v>95</v>
      </c>
      <c r="G742" s="79">
        <f t="shared" si="193"/>
        <v>5133</v>
      </c>
      <c r="H742" s="199">
        <v>4196</v>
      </c>
      <c r="I742" s="199">
        <v>1054</v>
      </c>
      <c r="J742" s="200">
        <f t="shared" si="189"/>
        <v>5250</v>
      </c>
      <c r="K742" s="201">
        <f t="shared" si="190"/>
        <v>117</v>
      </c>
      <c r="L742" s="43"/>
      <c r="N742" s="112">
        <v>144117</v>
      </c>
      <c r="O742" s="112">
        <v>81826</v>
      </c>
      <c r="P742" s="112">
        <v>6299</v>
      </c>
      <c r="Q742" s="112"/>
      <c r="R742" s="112">
        <v>29499</v>
      </c>
      <c r="S742" s="113">
        <v>5980</v>
      </c>
      <c r="T742" s="113"/>
      <c r="U742" s="113"/>
      <c r="V742" s="112">
        <v>204276</v>
      </c>
      <c r="W742" s="112">
        <v>111669</v>
      </c>
      <c r="X742" s="112">
        <v>85007</v>
      </c>
      <c r="Y742" s="112">
        <v>92778</v>
      </c>
      <c r="Z742" s="112">
        <v>156126</v>
      </c>
    </row>
    <row r="743" spans="1:26" ht="18" hidden="1" customHeight="1" x14ac:dyDescent="0.2">
      <c r="A743" s="47">
        <f t="shared" si="161"/>
        <v>43594</v>
      </c>
      <c r="B743" s="47" t="s">
        <v>99</v>
      </c>
      <c r="C743" s="48">
        <f t="shared" si="191"/>
        <v>2269</v>
      </c>
      <c r="D743" s="99">
        <f t="shared" si="181"/>
        <v>2072</v>
      </c>
      <c r="E743" s="45">
        <f t="shared" si="182"/>
        <v>944.99999999997817</v>
      </c>
      <c r="F743" s="45">
        <f t="shared" si="192"/>
        <v>106</v>
      </c>
      <c r="G743" s="79">
        <f t="shared" si="193"/>
        <v>5391.9999999999782</v>
      </c>
      <c r="H743" s="199">
        <v>4384</v>
      </c>
      <c r="I743" s="199">
        <v>1067</v>
      </c>
      <c r="J743" s="200">
        <f t="shared" si="189"/>
        <v>5451</v>
      </c>
      <c r="K743" s="201">
        <f t="shared" si="190"/>
        <v>59.000000000021828</v>
      </c>
      <c r="L743" s="43"/>
      <c r="N743" s="112">
        <v>144367</v>
      </c>
      <c r="O743" s="112">
        <v>81918</v>
      </c>
      <c r="P743" s="112">
        <v>6314</v>
      </c>
      <c r="Q743" s="112"/>
      <c r="R743" s="112">
        <v>29523</v>
      </c>
      <c r="S743" s="113">
        <v>5989</v>
      </c>
      <c r="T743" s="113"/>
      <c r="U743" s="113"/>
      <c r="V743" s="112">
        <v>204434</v>
      </c>
      <c r="W743" s="112">
        <v>111699</v>
      </c>
      <c r="X743" s="112">
        <v>85065</v>
      </c>
      <c r="Y743" s="112">
        <v>92778</v>
      </c>
      <c r="Z743" s="112">
        <v>156221</v>
      </c>
    </row>
    <row r="744" spans="1:26" ht="18" hidden="1" customHeight="1" x14ac:dyDescent="0.2">
      <c r="A744" s="47">
        <f t="shared" ref="A744:A807" si="194">A743+1</f>
        <v>43595</v>
      </c>
      <c r="B744" s="47" t="s">
        <v>100</v>
      </c>
      <c r="C744" s="48">
        <f t="shared" si="191"/>
        <v>0</v>
      </c>
      <c r="D744" s="99">
        <f t="shared" si="181"/>
        <v>0</v>
      </c>
      <c r="E744" s="45">
        <f t="shared" si="182"/>
        <v>0</v>
      </c>
      <c r="F744" s="45">
        <f t="shared" si="192"/>
        <v>0</v>
      </c>
      <c r="G744" s="79">
        <f t="shared" si="193"/>
        <v>0</v>
      </c>
      <c r="H744" s="199">
        <v>3601</v>
      </c>
      <c r="I744" s="199">
        <v>1071</v>
      </c>
      <c r="J744" s="200">
        <f t="shared" si="189"/>
        <v>4672</v>
      </c>
      <c r="K744" s="201">
        <f t="shared" si="190"/>
        <v>4672</v>
      </c>
      <c r="L744" s="43"/>
      <c r="N744" s="112">
        <v>144617</v>
      </c>
      <c r="O744" s="112">
        <v>82014</v>
      </c>
      <c r="P744" s="112">
        <v>6323</v>
      </c>
      <c r="Q744" s="112"/>
      <c r="R744" s="112">
        <v>29544</v>
      </c>
      <c r="S744" s="113">
        <v>5996.7</v>
      </c>
      <c r="T744" s="113"/>
      <c r="U744" s="113"/>
      <c r="V744" s="112">
        <v>204615</v>
      </c>
      <c r="W744" s="112">
        <v>111735</v>
      </c>
      <c r="X744" s="112">
        <v>85143</v>
      </c>
      <c r="Y744" s="112">
        <v>92778</v>
      </c>
      <c r="Z744" s="112">
        <v>156327</v>
      </c>
    </row>
    <row r="745" spans="1:26" ht="18" hidden="1" customHeight="1" x14ac:dyDescent="0.2">
      <c r="A745" s="47">
        <f t="shared" si="194"/>
        <v>43596</v>
      </c>
      <c r="B745" s="56" t="s">
        <v>103</v>
      </c>
      <c r="C745" s="48">
        <f t="shared" si="191"/>
        <v>0</v>
      </c>
      <c r="D745" s="99">
        <f t="shared" si="181"/>
        <v>0</v>
      </c>
      <c r="E745" s="45">
        <f t="shared" si="182"/>
        <v>0</v>
      </c>
      <c r="F745" s="45">
        <f t="shared" si="192"/>
        <v>0</v>
      </c>
      <c r="G745" s="79">
        <f t="shared" si="193"/>
        <v>0</v>
      </c>
      <c r="H745" s="199">
        <v>0</v>
      </c>
      <c r="I745" s="199">
        <f>1976+747</f>
        <v>2723</v>
      </c>
      <c r="J745" s="200">
        <f t="shared" si="189"/>
        <v>2723</v>
      </c>
      <c r="K745" s="201">
        <f t="shared" si="190"/>
        <v>2723</v>
      </c>
      <c r="L745" s="43"/>
      <c r="N745" s="153">
        <v>144617</v>
      </c>
      <c r="O745" s="153">
        <v>82014</v>
      </c>
      <c r="P745" s="153">
        <v>6323</v>
      </c>
      <c r="Q745" s="153"/>
      <c r="R745" s="153">
        <v>29544</v>
      </c>
      <c r="S745" s="154">
        <v>5996.7</v>
      </c>
      <c r="T745" s="154"/>
      <c r="U745" s="154"/>
      <c r="V745" s="153">
        <v>204615</v>
      </c>
      <c r="W745" s="153">
        <v>111735</v>
      </c>
      <c r="X745" s="153">
        <v>85143</v>
      </c>
      <c r="Y745" s="153">
        <v>92778</v>
      </c>
      <c r="Z745" s="153">
        <v>156327</v>
      </c>
    </row>
    <row r="746" spans="1:26" ht="18" hidden="1" customHeight="1" x14ac:dyDescent="0.2">
      <c r="A746" s="47">
        <f t="shared" si="194"/>
        <v>43597</v>
      </c>
      <c r="B746" s="56" t="s">
        <v>104</v>
      </c>
      <c r="C746" s="48">
        <f t="shared" si="191"/>
        <v>2670</v>
      </c>
      <c r="D746" s="99">
        <f t="shared" si="181"/>
        <v>4200</v>
      </c>
      <c r="E746" s="45">
        <f t="shared" si="182"/>
        <v>2820.0000000000655</v>
      </c>
      <c r="F746" s="45">
        <f t="shared" si="192"/>
        <v>268</v>
      </c>
      <c r="G746" s="79">
        <f t="shared" si="193"/>
        <v>9958.0000000000655</v>
      </c>
      <c r="H746" s="199">
        <v>0</v>
      </c>
      <c r="I746" s="199">
        <v>2984</v>
      </c>
      <c r="J746" s="200">
        <f t="shared" si="189"/>
        <v>2984</v>
      </c>
      <c r="K746" s="201">
        <f t="shared" si="190"/>
        <v>-6974.0000000000655</v>
      </c>
      <c r="L746" s="43"/>
      <c r="N746" s="153">
        <v>144617</v>
      </c>
      <c r="O746" s="153">
        <v>82014</v>
      </c>
      <c r="P746" s="153">
        <v>6323</v>
      </c>
      <c r="Q746" s="153"/>
      <c r="R746" s="153">
        <v>29544</v>
      </c>
      <c r="S746" s="154">
        <v>5996.7</v>
      </c>
      <c r="T746" s="154"/>
      <c r="U746" s="154"/>
      <c r="V746" s="153">
        <v>204615</v>
      </c>
      <c r="W746" s="153">
        <v>111735</v>
      </c>
      <c r="X746" s="153">
        <v>85143</v>
      </c>
      <c r="Y746" s="153">
        <v>92778</v>
      </c>
      <c r="Z746" s="153">
        <v>156327</v>
      </c>
    </row>
    <row r="747" spans="1:26" ht="18" hidden="1" customHeight="1" x14ac:dyDescent="0.2">
      <c r="A747" s="47">
        <f t="shared" si="194"/>
        <v>43598</v>
      </c>
      <c r="B747" s="47" t="s">
        <v>96</v>
      </c>
      <c r="C747" s="48">
        <f t="shared" ref="C747:C753" si="195">(V748-V747)*1+(W748-W747)*32+(X748-X747)*12+(Y748-Y747)*6</f>
        <v>2765</v>
      </c>
      <c r="D747" s="99">
        <f t="shared" si="181"/>
        <v>2832</v>
      </c>
      <c r="E747" s="45">
        <f t="shared" si="182"/>
        <v>1238.9999999999345</v>
      </c>
      <c r="F747" s="45">
        <f t="shared" ref="F747:F753" si="196">(Z748-Z747)*1</f>
        <v>80</v>
      </c>
      <c r="G747" s="79">
        <f t="shared" ref="G747:G753" si="197">C747+D747+F747+E747</f>
        <v>6915.9999999999345</v>
      </c>
      <c r="H747" s="199">
        <v>4823</v>
      </c>
      <c r="I747" s="199">
        <v>1062</v>
      </c>
      <c r="J747" s="200">
        <f t="shared" si="189"/>
        <v>5885</v>
      </c>
      <c r="K747" s="201">
        <f t="shared" si="190"/>
        <v>-1030.9999999999345</v>
      </c>
      <c r="L747" s="43"/>
      <c r="N747" s="112">
        <v>145117</v>
      </c>
      <c r="O747" s="112">
        <v>82207</v>
      </c>
      <c r="P747" s="112">
        <v>6348</v>
      </c>
      <c r="Q747" s="112"/>
      <c r="R747" s="112">
        <v>29616</v>
      </c>
      <c r="S747" s="113">
        <v>6019.6</v>
      </c>
      <c r="T747" s="113"/>
      <c r="U747" s="113"/>
      <c r="V747" s="112">
        <v>205029</v>
      </c>
      <c r="W747" s="112">
        <v>111783</v>
      </c>
      <c r="X747" s="112">
        <v>85203</v>
      </c>
      <c r="Y747" s="112">
        <v>92778</v>
      </c>
      <c r="Z747" s="112">
        <v>156595</v>
      </c>
    </row>
    <row r="748" spans="1:26" ht="18" hidden="1" customHeight="1" x14ac:dyDescent="0.2">
      <c r="A748" s="47">
        <f t="shared" si="194"/>
        <v>43599</v>
      </c>
      <c r="B748" s="47" t="s">
        <v>97</v>
      </c>
      <c r="C748" s="48">
        <f t="shared" si="195"/>
        <v>2415</v>
      </c>
      <c r="D748" s="99">
        <f t="shared" si="181"/>
        <v>1288</v>
      </c>
      <c r="E748" s="45">
        <f t="shared" si="182"/>
        <v>899.00000000002183</v>
      </c>
      <c r="F748" s="45">
        <f t="shared" si="196"/>
        <v>75</v>
      </c>
      <c r="G748" s="79">
        <f t="shared" si="197"/>
        <v>4677.0000000000218</v>
      </c>
      <c r="H748" s="199">
        <v>4802</v>
      </c>
      <c r="I748" s="199">
        <v>1195</v>
      </c>
      <c r="J748" s="200">
        <f t="shared" si="189"/>
        <v>5997</v>
      </c>
      <c r="K748" s="201">
        <f t="shared" si="190"/>
        <v>1319.9999999999782</v>
      </c>
      <c r="L748" s="43"/>
      <c r="N748" s="112">
        <v>145457</v>
      </c>
      <c r="O748" s="112">
        <v>82315</v>
      </c>
      <c r="P748" s="112">
        <v>6362</v>
      </c>
      <c r="Q748" s="112"/>
      <c r="R748" s="112">
        <v>29643</v>
      </c>
      <c r="S748" s="113">
        <v>6029.7</v>
      </c>
      <c r="T748" s="113"/>
      <c r="U748" s="113"/>
      <c r="V748" s="112">
        <v>205242</v>
      </c>
      <c r="W748" s="112">
        <v>111835</v>
      </c>
      <c r="X748" s="112">
        <v>85277</v>
      </c>
      <c r="Y748" s="112">
        <v>92778</v>
      </c>
      <c r="Z748" s="112">
        <v>156675</v>
      </c>
    </row>
    <row r="749" spans="1:26" ht="18" hidden="1" customHeight="1" x14ac:dyDescent="0.2">
      <c r="A749" s="47">
        <f t="shared" si="194"/>
        <v>43600</v>
      </c>
      <c r="B749" s="47" t="s">
        <v>98</v>
      </c>
      <c r="C749" s="48">
        <f t="shared" si="195"/>
        <v>2560</v>
      </c>
      <c r="D749" s="99">
        <f t="shared" si="181"/>
        <v>2136</v>
      </c>
      <c r="E749" s="45">
        <f t="shared" si="182"/>
        <v>1045</v>
      </c>
      <c r="F749" s="45">
        <f t="shared" si="196"/>
        <v>103</v>
      </c>
      <c r="G749" s="79">
        <f t="shared" si="197"/>
        <v>5844</v>
      </c>
      <c r="H749" s="199">
        <v>4952</v>
      </c>
      <c r="I749" s="199">
        <v>1116</v>
      </c>
      <c r="J749" s="200">
        <f t="shared" si="189"/>
        <v>6068</v>
      </c>
      <c r="K749" s="201">
        <f t="shared" si="190"/>
        <v>224</v>
      </c>
      <c r="L749" s="43"/>
      <c r="N749" s="112">
        <v>145607</v>
      </c>
      <c r="O749" s="112">
        <v>82395</v>
      </c>
      <c r="P749" s="112">
        <v>6373</v>
      </c>
      <c r="Q749" s="112"/>
      <c r="R749" s="112">
        <v>29666</v>
      </c>
      <c r="S749" s="113">
        <v>6037</v>
      </c>
      <c r="T749" s="113"/>
      <c r="U749" s="113"/>
      <c r="V749" s="112">
        <v>205429</v>
      </c>
      <c r="W749" s="112">
        <v>111878</v>
      </c>
      <c r="X749" s="112">
        <v>85348</v>
      </c>
      <c r="Y749" s="112">
        <v>92778</v>
      </c>
      <c r="Z749" s="112">
        <v>156750</v>
      </c>
    </row>
    <row r="750" spans="1:26" ht="18" hidden="1" customHeight="1" x14ac:dyDescent="0.2">
      <c r="A750" s="47">
        <f t="shared" si="194"/>
        <v>43601</v>
      </c>
      <c r="B750" s="47" t="s">
        <v>99</v>
      </c>
      <c r="C750" s="48">
        <f t="shared" si="195"/>
        <v>2196</v>
      </c>
      <c r="D750" s="99">
        <f t="shared" si="181"/>
        <v>2088</v>
      </c>
      <c r="E750" s="45">
        <f t="shared" si="182"/>
        <v>911.99999999995634</v>
      </c>
      <c r="F750" s="45">
        <f t="shared" si="196"/>
        <v>89</v>
      </c>
      <c r="G750" s="79">
        <f t="shared" si="197"/>
        <v>5284.9999999999563</v>
      </c>
      <c r="H750" s="199">
        <v>4962</v>
      </c>
      <c r="I750" s="199">
        <v>1144</v>
      </c>
      <c r="J750" s="200">
        <f t="shared" si="189"/>
        <v>6106</v>
      </c>
      <c r="K750" s="201">
        <f t="shared" si="190"/>
        <v>821.00000000004366</v>
      </c>
      <c r="L750" s="43"/>
      <c r="N750" s="112">
        <v>145857</v>
      </c>
      <c r="O750" s="112">
        <v>82491</v>
      </c>
      <c r="P750" s="112">
        <v>6390</v>
      </c>
      <c r="Q750" s="112"/>
      <c r="R750" s="112">
        <v>29691</v>
      </c>
      <c r="S750" s="113">
        <v>6045.5</v>
      </c>
      <c r="T750" s="113"/>
      <c r="U750" s="113"/>
      <c r="V750" s="112">
        <v>205541</v>
      </c>
      <c r="W750" s="112">
        <v>111929</v>
      </c>
      <c r="X750" s="112">
        <v>85416</v>
      </c>
      <c r="Y750" s="112">
        <v>92778</v>
      </c>
      <c r="Z750" s="112">
        <v>156853</v>
      </c>
    </row>
    <row r="751" spans="1:26" ht="18" hidden="1" customHeight="1" x14ac:dyDescent="0.2">
      <c r="A751" s="47">
        <f t="shared" si="194"/>
        <v>43602</v>
      </c>
      <c r="B751" s="47" t="s">
        <v>100</v>
      </c>
      <c r="C751" s="48">
        <f t="shared" si="195"/>
        <v>0</v>
      </c>
      <c r="D751" s="99">
        <f t="shared" si="181"/>
        <v>0</v>
      </c>
      <c r="E751" s="45">
        <f t="shared" si="182"/>
        <v>0</v>
      </c>
      <c r="F751" s="45">
        <f t="shared" si="196"/>
        <v>0</v>
      </c>
      <c r="G751" s="79">
        <f t="shared" si="197"/>
        <v>0</v>
      </c>
      <c r="H751" s="199">
        <v>4509</v>
      </c>
      <c r="I751" s="199">
        <v>1232</v>
      </c>
      <c r="J751" s="200">
        <f t="shared" si="189"/>
        <v>5741</v>
      </c>
      <c r="K751" s="201">
        <f t="shared" si="190"/>
        <v>5741</v>
      </c>
      <c r="L751" s="43"/>
      <c r="N751" s="112">
        <v>146107</v>
      </c>
      <c r="O751" s="112">
        <v>82584</v>
      </c>
      <c r="P751" s="112">
        <v>6401</v>
      </c>
      <c r="Q751" s="112"/>
      <c r="R751" s="112">
        <v>29715</v>
      </c>
      <c r="S751" s="113">
        <v>6052.9</v>
      </c>
      <c r="T751" s="113"/>
      <c r="U751" s="113"/>
      <c r="V751" s="112">
        <v>205557</v>
      </c>
      <c r="W751" s="112">
        <v>111969</v>
      </c>
      <c r="X751" s="112">
        <v>85491</v>
      </c>
      <c r="Y751" s="112">
        <v>92778</v>
      </c>
      <c r="Z751" s="112">
        <v>156942</v>
      </c>
    </row>
    <row r="752" spans="1:26" ht="18" hidden="1" customHeight="1" x14ac:dyDescent="0.2">
      <c r="A752" s="47">
        <f t="shared" si="194"/>
        <v>43603</v>
      </c>
      <c r="B752" s="56" t="s">
        <v>103</v>
      </c>
      <c r="C752" s="48">
        <f t="shared" si="195"/>
        <v>0</v>
      </c>
      <c r="D752" s="99">
        <f t="shared" si="181"/>
        <v>0</v>
      </c>
      <c r="E752" s="45">
        <f t="shared" si="182"/>
        <v>0</v>
      </c>
      <c r="F752" s="45">
        <f t="shared" si="196"/>
        <v>0</v>
      </c>
      <c r="G752" s="79">
        <f t="shared" si="197"/>
        <v>0</v>
      </c>
      <c r="H752" s="199">
        <v>0</v>
      </c>
      <c r="I752" s="199">
        <f>2083+710</f>
        <v>2793</v>
      </c>
      <c r="J752" s="200">
        <f t="shared" si="189"/>
        <v>2793</v>
      </c>
      <c r="K752" s="201">
        <f t="shared" si="190"/>
        <v>2793</v>
      </c>
      <c r="L752" s="43"/>
      <c r="N752" s="153">
        <v>146107</v>
      </c>
      <c r="O752" s="153">
        <v>82584</v>
      </c>
      <c r="P752" s="153">
        <v>6401</v>
      </c>
      <c r="Q752" s="153"/>
      <c r="R752" s="153">
        <v>29715</v>
      </c>
      <c r="S752" s="154">
        <v>6052.9</v>
      </c>
      <c r="T752" s="154"/>
      <c r="U752" s="154"/>
      <c r="V752" s="153">
        <v>205557</v>
      </c>
      <c r="W752" s="153">
        <v>111969</v>
      </c>
      <c r="X752" s="153">
        <v>85491</v>
      </c>
      <c r="Y752" s="153">
        <v>92778</v>
      </c>
      <c r="Z752" s="153">
        <v>156942</v>
      </c>
    </row>
    <row r="753" spans="1:26" ht="18" hidden="1" customHeight="1" x14ac:dyDescent="0.2">
      <c r="A753" s="47">
        <f t="shared" si="194"/>
        <v>43604</v>
      </c>
      <c r="B753" s="56" t="s">
        <v>104</v>
      </c>
      <c r="C753" s="48">
        <f t="shared" si="195"/>
        <v>3656</v>
      </c>
      <c r="D753" s="99">
        <f t="shared" si="181"/>
        <v>4096</v>
      </c>
      <c r="E753" s="45">
        <f t="shared" si="182"/>
        <v>3075</v>
      </c>
      <c r="F753" s="45">
        <f t="shared" si="196"/>
        <v>321</v>
      </c>
      <c r="G753" s="79">
        <f t="shared" si="197"/>
        <v>11148</v>
      </c>
      <c r="H753" s="199">
        <v>0</v>
      </c>
      <c r="I753" s="199">
        <v>3107</v>
      </c>
      <c r="J753" s="200">
        <f t="shared" si="189"/>
        <v>3107</v>
      </c>
      <c r="K753" s="201">
        <f t="shared" si="190"/>
        <v>-8041</v>
      </c>
      <c r="L753" s="43"/>
      <c r="N753" s="153">
        <v>146107</v>
      </c>
      <c r="O753" s="153">
        <v>82584</v>
      </c>
      <c r="P753" s="153">
        <v>6401</v>
      </c>
      <c r="Q753" s="153"/>
      <c r="R753" s="153">
        <v>29715</v>
      </c>
      <c r="S753" s="154">
        <v>6052.9</v>
      </c>
      <c r="T753" s="154"/>
      <c r="U753" s="154"/>
      <c r="V753" s="153">
        <v>205557</v>
      </c>
      <c r="W753" s="153">
        <v>111969</v>
      </c>
      <c r="X753" s="153">
        <v>85491</v>
      </c>
      <c r="Y753" s="153">
        <v>92778</v>
      </c>
      <c r="Z753" s="153">
        <v>156942</v>
      </c>
    </row>
    <row r="754" spans="1:26" ht="18" hidden="1" customHeight="1" x14ac:dyDescent="0.2">
      <c r="A754" s="47">
        <f t="shared" si="194"/>
        <v>43605</v>
      </c>
      <c r="B754" s="47" t="s">
        <v>96</v>
      </c>
      <c r="C754" s="48">
        <f t="shared" ref="C754:C760" si="198">(V755-V754)*1+(W755-W754)*32+(X755-X754)*12+(Y755-Y754)*6</f>
        <v>2981</v>
      </c>
      <c r="D754" s="99">
        <f t="shared" si="181"/>
        <v>1640</v>
      </c>
      <c r="E754" s="45">
        <f t="shared" si="182"/>
        <v>1189.0000000000873</v>
      </c>
      <c r="F754" s="45">
        <f t="shared" ref="F754:F760" si="199">(Z755-Z754)*1</f>
        <v>79</v>
      </c>
      <c r="G754" s="79">
        <f t="shared" ref="G754:G760" si="200">C754+D754+F754+E754</f>
        <v>5889.0000000000873</v>
      </c>
      <c r="H754" s="199">
        <v>4454</v>
      </c>
      <c r="I754" s="199">
        <v>945</v>
      </c>
      <c r="J754" s="200">
        <f t="shared" si="189"/>
        <v>5399</v>
      </c>
      <c r="K754" s="201">
        <f t="shared" si="190"/>
        <v>-490.00000000008731</v>
      </c>
      <c r="L754" s="43"/>
      <c r="N754" s="112">
        <v>146587</v>
      </c>
      <c r="O754" s="112">
        <v>82764</v>
      </c>
      <c r="P754" s="112">
        <v>6433</v>
      </c>
      <c r="Q754" s="112"/>
      <c r="R754" s="112">
        <v>29790</v>
      </c>
      <c r="S754" s="113">
        <v>6077.9</v>
      </c>
      <c r="T754" s="113"/>
      <c r="U754" s="113"/>
      <c r="V754" s="112">
        <v>206261</v>
      </c>
      <c r="W754" s="112">
        <v>112026</v>
      </c>
      <c r="X754" s="112">
        <v>85585</v>
      </c>
      <c r="Y754" s="112">
        <v>92778</v>
      </c>
      <c r="Z754" s="112">
        <v>157263</v>
      </c>
    </row>
    <row r="755" spans="1:26" ht="18" hidden="1" customHeight="1" x14ac:dyDescent="0.2">
      <c r="A755" s="47">
        <f t="shared" si="194"/>
        <v>43606</v>
      </c>
      <c r="B755" s="47" t="s">
        <v>97</v>
      </c>
      <c r="C755" s="48">
        <f t="shared" si="198"/>
        <v>2394</v>
      </c>
      <c r="D755" s="99">
        <f t="shared" si="181"/>
        <v>1680</v>
      </c>
      <c r="E755" s="45">
        <f t="shared" si="182"/>
        <v>979</v>
      </c>
      <c r="F755" s="45">
        <f t="shared" si="199"/>
        <v>80</v>
      </c>
      <c r="G755" s="79">
        <f t="shared" si="200"/>
        <v>5133</v>
      </c>
      <c r="H755" s="199">
        <v>4284</v>
      </c>
      <c r="I755" s="199">
        <v>884</v>
      </c>
      <c r="J755" s="200">
        <f t="shared" si="189"/>
        <v>5168</v>
      </c>
      <c r="K755" s="201">
        <f t="shared" si="190"/>
        <v>35</v>
      </c>
      <c r="L755" s="43"/>
      <c r="N755" s="112">
        <v>146777</v>
      </c>
      <c r="O755" s="112">
        <v>82837</v>
      </c>
      <c r="P755" s="112">
        <v>6448</v>
      </c>
      <c r="Q755" s="112"/>
      <c r="R755" s="112">
        <v>29815</v>
      </c>
      <c r="S755" s="113">
        <v>6087.6</v>
      </c>
      <c r="T755" s="113"/>
      <c r="U755" s="113"/>
      <c r="V755" s="112">
        <v>206442</v>
      </c>
      <c r="W755" s="112">
        <v>112094</v>
      </c>
      <c r="X755" s="112">
        <v>85637</v>
      </c>
      <c r="Y755" s="112">
        <v>92778</v>
      </c>
      <c r="Z755" s="112">
        <v>157342</v>
      </c>
    </row>
    <row r="756" spans="1:26" ht="18" hidden="1" customHeight="1" x14ac:dyDescent="0.2">
      <c r="A756" s="47">
        <f t="shared" si="194"/>
        <v>43607</v>
      </c>
      <c r="B756" s="47" t="s">
        <v>98</v>
      </c>
      <c r="C756" s="48">
        <f t="shared" si="198"/>
        <v>2378</v>
      </c>
      <c r="D756" s="99">
        <f t="shared" si="181"/>
        <v>1464</v>
      </c>
      <c r="E756" s="45">
        <f t="shared" si="182"/>
        <v>1012.9999999999782</v>
      </c>
      <c r="F756" s="45">
        <f t="shared" si="199"/>
        <v>80</v>
      </c>
      <c r="G756" s="79">
        <f t="shared" si="200"/>
        <v>4934.9999999999782</v>
      </c>
      <c r="H756" s="199">
        <v>4334</v>
      </c>
      <c r="I756" s="199">
        <v>911</v>
      </c>
      <c r="J756" s="200">
        <f t="shared" si="189"/>
        <v>5245</v>
      </c>
      <c r="K756" s="201">
        <f t="shared" si="190"/>
        <v>310.00000000002183</v>
      </c>
      <c r="L756" s="43"/>
      <c r="N756" s="112">
        <v>146977</v>
      </c>
      <c r="O756" s="112">
        <v>82908</v>
      </c>
      <c r="P756" s="112">
        <v>6458</v>
      </c>
      <c r="Q756" s="112"/>
      <c r="R756" s="112">
        <v>29834</v>
      </c>
      <c r="S756" s="113">
        <v>6095.6</v>
      </c>
      <c r="T756" s="113"/>
      <c r="U756" s="113"/>
      <c r="V756" s="112">
        <v>206612</v>
      </c>
      <c r="W756" s="112">
        <v>112132</v>
      </c>
      <c r="X756" s="112">
        <v>85721</v>
      </c>
      <c r="Y756" s="112">
        <v>92778</v>
      </c>
      <c r="Z756" s="112">
        <v>157422</v>
      </c>
    </row>
    <row r="757" spans="1:26" ht="18" hidden="1" customHeight="1" x14ac:dyDescent="0.2">
      <c r="A757" s="47">
        <f t="shared" si="194"/>
        <v>43608</v>
      </c>
      <c r="B757" s="47" t="s">
        <v>99</v>
      </c>
      <c r="C757" s="48">
        <f t="shared" si="198"/>
        <v>2432</v>
      </c>
      <c r="D757" s="99">
        <f t="shared" si="181"/>
        <v>1584</v>
      </c>
      <c r="E757" s="45">
        <f t="shared" si="182"/>
        <v>921</v>
      </c>
      <c r="F757" s="45">
        <f t="shared" si="199"/>
        <v>90</v>
      </c>
      <c r="G757" s="79">
        <f t="shared" si="200"/>
        <v>5027</v>
      </c>
      <c r="H757" s="199">
        <v>4174</v>
      </c>
      <c r="I757" s="199">
        <v>865</v>
      </c>
      <c r="J757" s="200">
        <f t="shared" si="189"/>
        <v>5039</v>
      </c>
      <c r="K757" s="201">
        <f t="shared" si="190"/>
        <v>12</v>
      </c>
      <c r="L757" s="43"/>
      <c r="N757" s="112">
        <v>147147</v>
      </c>
      <c r="O757" s="112">
        <v>82976</v>
      </c>
      <c r="P757" s="112">
        <v>6471</v>
      </c>
      <c r="Q757" s="112"/>
      <c r="R757" s="112">
        <v>29863</v>
      </c>
      <c r="S757" s="113">
        <v>6103.8</v>
      </c>
      <c r="T757" s="113"/>
      <c r="U757" s="113"/>
      <c r="V757" s="112">
        <v>206786</v>
      </c>
      <c r="W757" s="112">
        <v>112172</v>
      </c>
      <c r="X757" s="112">
        <v>85798</v>
      </c>
      <c r="Y757" s="112">
        <v>92778</v>
      </c>
      <c r="Z757" s="112">
        <v>157502</v>
      </c>
    </row>
    <row r="758" spans="1:26" ht="18" hidden="1" customHeight="1" x14ac:dyDescent="0.2">
      <c r="A758" s="47">
        <f t="shared" si="194"/>
        <v>43609</v>
      </c>
      <c r="B758" s="47" t="s">
        <v>100</v>
      </c>
      <c r="C758" s="48">
        <f t="shared" si="198"/>
        <v>0</v>
      </c>
      <c r="D758" s="99">
        <f t="shared" si="181"/>
        <v>0</v>
      </c>
      <c r="E758" s="45">
        <f t="shared" si="182"/>
        <v>0</v>
      </c>
      <c r="F758" s="45">
        <f t="shared" si="199"/>
        <v>0</v>
      </c>
      <c r="G758" s="79">
        <f t="shared" si="200"/>
        <v>0</v>
      </c>
      <c r="H758" s="199">
        <v>4076</v>
      </c>
      <c r="I758" s="199">
        <v>874</v>
      </c>
      <c r="J758" s="200">
        <f t="shared" si="189"/>
        <v>4950</v>
      </c>
      <c r="K758" s="201">
        <f t="shared" si="190"/>
        <v>4950</v>
      </c>
      <c r="L758" s="43"/>
      <c r="N758" s="112">
        <v>147337</v>
      </c>
      <c r="O758" s="112">
        <v>83049</v>
      </c>
      <c r="P758" s="112">
        <v>6479</v>
      </c>
      <c r="Q758" s="112"/>
      <c r="R758" s="112">
        <v>29884</v>
      </c>
      <c r="S758" s="113">
        <v>6111.3</v>
      </c>
      <c r="T758" s="113"/>
      <c r="U758" s="113"/>
      <c r="V758" s="112">
        <v>206958</v>
      </c>
      <c r="W758" s="112">
        <v>112213</v>
      </c>
      <c r="X758" s="112">
        <v>85877</v>
      </c>
      <c r="Y758" s="112">
        <v>92778</v>
      </c>
      <c r="Z758" s="112">
        <v>157592</v>
      </c>
    </row>
    <row r="759" spans="1:26" ht="18" hidden="1" customHeight="1" x14ac:dyDescent="0.2">
      <c r="A759" s="47">
        <f t="shared" si="194"/>
        <v>43610</v>
      </c>
      <c r="B759" s="56" t="s">
        <v>103</v>
      </c>
      <c r="C759" s="48">
        <f t="shared" si="198"/>
        <v>0</v>
      </c>
      <c r="D759" s="99">
        <f t="shared" si="181"/>
        <v>0</v>
      </c>
      <c r="E759" s="45">
        <f t="shared" si="182"/>
        <v>0</v>
      </c>
      <c r="F759" s="45">
        <f t="shared" si="199"/>
        <v>0</v>
      </c>
      <c r="G759" s="79">
        <f t="shared" si="200"/>
        <v>0</v>
      </c>
      <c r="H759" s="199">
        <v>0</v>
      </c>
      <c r="I759" s="199">
        <f>345+1532</f>
        <v>1877</v>
      </c>
      <c r="J759" s="200">
        <f t="shared" si="189"/>
        <v>1877</v>
      </c>
      <c r="K759" s="201">
        <f t="shared" si="190"/>
        <v>1877</v>
      </c>
      <c r="L759" s="43"/>
      <c r="N759" s="153">
        <v>147337</v>
      </c>
      <c r="O759" s="153">
        <v>83049</v>
      </c>
      <c r="P759" s="153">
        <v>6479</v>
      </c>
      <c r="Q759" s="153"/>
      <c r="R759" s="153">
        <v>29884</v>
      </c>
      <c r="S759" s="154">
        <v>6111.3</v>
      </c>
      <c r="T759" s="154"/>
      <c r="U759" s="154"/>
      <c r="V759" s="153">
        <v>206958</v>
      </c>
      <c r="W759" s="153">
        <v>112213</v>
      </c>
      <c r="X759" s="153">
        <v>85877</v>
      </c>
      <c r="Y759" s="153">
        <v>92778</v>
      </c>
      <c r="Z759" s="153">
        <v>157592</v>
      </c>
    </row>
    <row r="760" spans="1:26" ht="18" hidden="1" customHeight="1" x14ac:dyDescent="0.2">
      <c r="A760" s="47">
        <f t="shared" si="194"/>
        <v>43611</v>
      </c>
      <c r="B760" s="56" t="s">
        <v>104</v>
      </c>
      <c r="C760" s="48">
        <f t="shared" si="198"/>
        <v>3487</v>
      </c>
      <c r="D760" s="99">
        <f t="shared" si="181"/>
        <v>1576</v>
      </c>
      <c r="E760" s="45">
        <f t="shared" si="182"/>
        <v>3198</v>
      </c>
      <c r="F760" s="45">
        <f t="shared" si="199"/>
        <v>245</v>
      </c>
      <c r="G760" s="79">
        <f t="shared" si="200"/>
        <v>8506</v>
      </c>
      <c r="H760" s="199">
        <v>0</v>
      </c>
      <c r="I760" s="199">
        <v>2115</v>
      </c>
      <c r="J760" s="200">
        <f t="shared" si="189"/>
        <v>2115</v>
      </c>
      <c r="K760" s="201">
        <f t="shared" si="190"/>
        <v>-6391</v>
      </c>
      <c r="L760" s="43"/>
      <c r="N760" s="153">
        <v>147337</v>
      </c>
      <c r="O760" s="153">
        <v>83049</v>
      </c>
      <c r="P760" s="153">
        <v>6479</v>
      </c>
      <c r="Q760" s="153"/>
      <c r="R760" s="153">
        <v>29884</v>
      </c>
      <c r="S760" s="154">
        <v>6111.3</v>
      </c>
      <c r="T760" s="154"/>
      <c r="U760" s="154"/>
      <c r="V760" s="153">
        <v>206958</v>
      </c>
      <c r="W760" s="153">
        <v>112213</v>
      </c>
      <c r="X760" s="153">
        <v>85877</v>
      </c>
      <c r="Y760" s="153">
        <v>92778</v>
      </c>
      <c r="Z760" s="153">
        <v>157592</v>
      </c>
    </row>
    <row r="761" spans="1:26" ht="18" hidden="1" customHeight="1" x14ac:dyDescent="0.2">
      <c r="A761" s="47">
        <f t="shared" si="194"/>
        <v>43612</v>
      </c>
      <c r="B761" s="47" t="s">
        <v>96</v>
      </c>
      <c r="C761" s="48">
        <f t="shared" ref="C761:C767" si="201">(V762-V761)*1+(W762-W761)*32+(X762-X761)*12+(Y762-Y761)*6</f>
        <v>2107</v>
      </c>
      <c r="D761" s="99">
        <f t="shared" si="181"/>
        <v>2280</v>
      </c>
      <c r="E761" s="45">
        <f t="shared" si="182"/>
        <v>1392.9999999999563</v>
      </c>
      <c r="F761" s="45">
        <f t="shared" ref="F761:F767" si="202">(Z762-Z761)*1</f>
        <v>99</v>
      </c>
      <c r="G761" s="79">
        <f t="shared" ref="G761:G767" si="203">C761+D761+F761+E761</f>
        <v>5878.9999999999563</v>
      </c>
      <c r="H761" s="199">
        <v>4426</v>
      </c>
      <c r="I761" s="199">
        <v>926</v>
      </c>
      <c r="J761" s="200">
        <f t="shared" si="189"/>
        <v>5352</v>
      </c>
      <c r="K761" s="201">
        <f t="shared" si="190"/>
        <v>-526.99999999995634</v>
      </c>
      <c r="L761" s="43"/>
      <c r="N761" s="112">
        <v>147517</v>
      </c>
      <c r="O761" s="112">
        <v>83119</v>
      </c>
      <c r="P761" s="112">
        <v>6496</v>
      </c>
      <c r="Q761" s="112"/>
      <c r="R761" s="112">
        <v>29962</v>
      </c>
      <c r="S761" s="113">
        <v>6137.3</v>
      </c>
      <c r="T761" s="113"/>
      <c r="U761" s="113"/>
      <c r="V761" s="112">
        <v>207457</v>
      </c>
      <c r="W761" s="112">
        <v>112276</v>
      </c>
      <c r="X761" s="112">
        <v>85958</v>
      </c>
      <c r="Y761" s="112">
        <v>92778</v>
      </c>
      <c r="Z761" s="112">
        <v>157837</v>
      </c>
    </row>
    <row r="762" spans="1:26" ht="18" hidden="1" customHeight="1" x14ac:dyDescent="0.2">
      <c r="A762" s="47">
        <f t="shared" si="194"/>
        <v>43613</v>
      </c>
      <c r="B762" s="47" t="s">
        <v>97</v>
      </c>
      <c r="C762" s="48">
        <f t="shared" si="201"/>
        <v>2409</v>
      </c>
      <c r="D762" s="99">
        <f t="shared" si="181"/>
        <v>712</v>
      </c>
      <c r="E762" s="45">
        <f t="shared" si="182"/>
        <v>1020.0000000000218</v>
      </c>
      <c r="F762" s="45">
        <f t="shared" si="202"/>
        <v>82</v>
      </c>
      <c r="G762" s="79">
        <f t="shared" si="203"/>
        <v>4223.0000000000218</v>
      </c>
      <c r="H762" s="199">
        <v>4186</v>
      </c>
      <c r="I762" s="199">
        <v>866</v>
      </c>
      <c r="J762" s="200">
        <f t="shared" si="189"/>
        <v>5052</v>
      </c>
      <c r="K762" s="201">
        <f t="shared" si="190"/>
        <v>828.99999999997817</v>
      </c>
      <c r="L762" s="43"/>
      <c r="N762" s="112">
        <v>147687</v>
      </c>
      <c r="O762" s="112">
        <v>83186</v>
      </c>
      <c r="P762" s="112">
        <v>6611</v>
      </c>
      <c r="Q762" s="112"/>
      <c r="R762" s="112">
        <v>29987</v>
      </c>
      <c r="S762" s="113">
        <v>6148.7</v>
      </c>
      <c r="T762" s="113"/>
      <c r="U762" s="113"/>
      <c r="V762" s="112">
        <v>207660</v>
      </c>
      <c r="W762" s="112">
        <v>112316</v>
      </c>
      <c r="X762" s="112">
        <v>86010</v>
      </c>
      <c r="Y762" s="112">
        <v>92778</v>
      </c>
      <c r="Z762" s="112">
        <v>157936</v>
      </c>
    </row>
    <row r="763" spans="1:26" ht="18" hidden="1" customHeight="1" x14ac:dyDescent="0.2">
      <c r="A763" s="47">
        <f t="shared" si="194"/>
        <v>43614</v>
      </c>
      <c r="B763" s="47" t="s">
        <v>98</v>
      </c>
      <c r="C763" s="48">
        <f t="shared" si="201"/>
        <v>1861</v>
      </c>
      <c r="D763" s="99">
        <f t="shared" si="181"/>
        <v>1432</v>
      </c>
      <c r="E763" s="45">
        <f t="shared" si="182"/>
        <v>1089.9999999999563</v>
      </c>
      <c r="F763" s="45">
        <f t="shared" si="202"/>
        <v>79</v>
      </c>
      <c r="G763" s="79">
        <f t="shared" si="203"/>
        <v>4461.9999999999563</v>
      </c>
      <c r="H763" s="199">
        <v>3784</v>
      </c>
      <c r="I763" s="199">
        <v>864</v>
      </c>
      <c r="J763" s="200">
        <f t="shared" si="189"/>
        <v>4648</v>
      </c>
      <c r="K763" s="201">
        <f t="shared" si="190"/>
        <v>186.00000000004366</v>
      </c>
      <c r="L763" s="43"/>
      <c r="N763" s="112">
        <v>147867</v>
      </c>
      <c r="O763" s="112">
        <v>83251</v>
      </c>
      <c r="P763" s="112">
        <v>6520</v>
      </c>
      <c r="Q763" s="112"/>
      <c r="R763" s="112">
        <v>30011</v>
      </c>
      <c r="S763" s="113">
        <v>6157</v>
      </c>
      <c r="T763" s="113"/>
      <c r="U763" s="113"/>
      <c r="V763" s="112">
        <v>207833</v>
      </c>
      <c r="W763" s="112">
        <v>112354</v>
      </c>
      <c r="X763" s="112">
        <v>86095</v>
      </c>
      <c r="Y763" s="112">
        <v>92778</v>
      </c>
      <c r="Z763" s="112">
        <v>158018</v>
      </c>
    </row>
    <row r="764" spans="1:26" ht="18" hidden="1" customHeight="1" x14ac:dyDescent="0.2">
      <c r="A764" s="47">
        <f t="shared" si="194"/>
        <v>43615</v>
      </c>
      <c r="B764" s="47" t="s">
        <v>99</v>
      </c>
      <c r="C764" s="48">
        <f t="shared" si="201"/>
        <v>1961</v>
      </c>
      <c r="D764" s="99">
        <f t="shared" si="181"/>
        <v>1432</v>
      </c>
      <c r="E764" s="45">
        <f t="shared" si="182"/>
        <v>1089.9999999999563</v>
      </c>
      <c r="F764" s="45">
        <f t="shared" si="202"/>
        <v>79</v>
      </c>
      <c r="G764" s="79">
        <f t="shared" si="203"/>
        <v>4561.9999999999563</v>
      </c>
      <c r="H764" s="199">
        <v>3897</v>
      </c>
      <c r="I764" s="199">
        <v>899</v>
      </c>
      <c r="J764" s="200">
        <f t="shared" si="189"/>
        <v>4796</v>
      </c>
      <c r="K764" s="201">
        <f t="shared" si="190"/>
        <v>234.00000000004366</v>
      </c>
      <c r="L764" s="43"/>
      <c r="N764" s="112">
        <v>148037</v>
      </c>
      <c r="O764" s="112">
        <v>83319</v>
      </c>
      <c r="P764" s="112">
        <v>6529</v>
      </c>
      <c r="Q764" s="112"/>
      <c r="R764" s="112">
        <v>30033</v>
      </c>
      <c r="S764" s="113">
        <v>6165.9</v>
      </c>
      <c r="T764" s="113"/>
      <c r="U764" s="113"/>
      <c r="V764" s="112">
        <v>207998</v>
      </c>
      <c r="W764" s="112">
        <v>112383</v>
      </c>
      <c r="X764" s="112">
        <v>86159</v>
      </c>
      <c r="Y764" s="112">
        <v>92778</v>
      </c>
      <c r="Z764" s="112">
        <v>158097</v>
      </c>
    </row>
    <row r="765" spans="1:26" ht="18" hidden="1" customHeight="1" x14ac:dyDescent="0.2">
      <c r="A765" s="47">
        <f t="shared" si="194"/>
        <v>43616</v>
      </c>
      <c r="B765" s="47" t="s">
        <v>100</v>
      </c>
      <c r="C765" s="48">
        <f t="shared" si="201"/>
        <v>0</v>
      </c>
      <c r="D765" s="99">
        <f t="shared" si="181"/>
        <v>0</v>
      </c>
      <c r="E765" s="45">
        <f t="shared" si="182"/>
        <v>1.0913936421275139E-10</v>
      </c>
      <c r="F765" s="45">
        <f t="shared" si="202"/>
        <v>0</v>
      </c>
      <c r="G765" s="79">
        <f t="shared" si="203"/>
        <v>1.0913936421275139E-10</v>
      </c>
      <c r="H765" s="199">
        <v>4364</v>
      </c>
      <c r="I765" s="199">
        <v>819</v>
      </c>
      <c r="J765" s="200">
        <f t="shared" si="189"/>
        <v>5183</v>
      </c>
      <c r="K765" s="201">
        <f t="shared" si="190"/>
        <v>5182.9999999998909</v>
      </c>
      <c r="L765" s="43"/>
      <c r="N765" s="112">
        <f>148037+170</f>
        <v>148207</v>
      </c>
      <c r="O765" s="112">
        <f>83319+68</f>
        <v>83387</v>
      </c>
      <c r="P765" s="112">
        <f>6529+9</f>
        <v>6538</v>
      </c>
      <c r="Q765" s="112"/>
      <c r="R765" s="112">
        <f>30033+22</f>
        <v>30055</v>
      </c>
      <c r="S765" s="113">
        <f>6165.9+8.9</f>
        <v>6174.7999999999993</v>
      </c>
      <c r="T765" s="113"/>
      <c r="U765" s="113"/>
      <c r="V765" s="112">
        <f>207998+265</f>
        <v>208263</v>
      </c>
      <c r="W765" s="112">
        <f>112383+29</f>
        <v>112412</v>
      </c>
      <c r="X765" s="112">
        <f>86159+64</f>
        <v>86223</v>
      </c>
      <c r="Y765" s="112">
        <v>92778</v>
      </c>
      <c r="Z765" s="112">
        <f>158097+79</f>
        <v>158176</v>
      </c>
    </row>
    <row r="766" spans="1:26" ht="18" hidden="1" customHeight="1" x14ac:dyDescent="0.2">
      <c r="A766" s="47">
        <f t="shared" si="194"/>
        <v>43617</v>
      </c>
      <c r="B766" s="56" t="s">
        <v>103</v>
      </c>
      <c r="C766" s="48">
        <f t="shared" si="201"/>
        <v>0</v>
      </c>
      <c r="D766" s="99">
        <f t="shared" si="181"/>
        <v>0</v>
      </c>
      <c r="E766" s="45">
        <f t="shared" si="182"/>
        <v>0</v>
      </c>
      <c r="F766" s="45">
        <f t="shared" si="202"/>
        <v>0</v>
      </c>
      <c r="G766" s="79">
        <f t="shared" si="203"/>
        <v>0</v>
      </c>
      <c r="H766" s="199">
        <v>0</v>
      </c>
      <c r="I766" s="199">
        <f>1784+356</f>
        <v>2140</v>
      </c>
      <c r="J766" s="200">
        <f t="shared" ref="J766:J803" si="204">H766+I766</f>
        <v>2140</v>
      </c>
      <c r="K766" s="201">
        <f t="shared" ref="K766:K803" si="205">J766-G766</f>
        <v>2140</v>
      </c>
      <c r="L766" s="43"/>
      <c r="N766" s="153">
        <v>148207</v>
      </c>
      <c r="O766" s="153">
        <v>83387</v>
      </c>
      <c r="P766" s="153">
        <v>6538</v>
      </c>
      <c r="Q766" s="153"/>
      <c r="R766" s="153">
        <v>30055</v>
      </c>
      <c r="S766" s="154">
        <v>6174.8</v>
      </c>
      <c r="T766" s="154"/>
      <c r="U766" s="154"/>
      <c r="V766" s="153">
        <v>208263</v>
      </c>
      <c r="W766" s="153">
        <v>112412</v>
      </c>
      <c r="X766" s="153">
        <v>86223</v>
      </c>
      <c r="Y766" s="153">
        <v>92778</v>
      </c>
      <c r="Z766" s="153">
        <v>158176</v>
      </c>
    </row>
    <row r="767" spans="1:26" ht="18" hidden="1" customHeight="1" x14ac:dyDescent="0.2">
      <c r="A767" s="47">
        <f t="shared" si="194"/>
        <v>43618</v>
      </c>
      <c r="B767" s="56" t="s">
        <v>104</v>
      </c>
      <c r="C767" s="48">
        <f t="shared" si="201"/>
        <v>3680</v>
      </c>
      <c r="D767" s="99">
        <f t="shared" si="181"/>
        <v>1608</v>
      </c>
      <c r="E767" s="45">
        <f t="shared" si="182"/>
        <v>3860</v>
      </c>
      <c r="F767" s="45">
        <f t="shared" si="202"/>
        <v>289</v>
      </c>
      <c r="G767" s="79">
        <f t="shared" si="203"/>
        <v>9437</v>
      </c>
      <c r="H767" s="199">
        <v>0</v>
      </c>
      <c r="I767" s="199">
        <v>2355</v>
      </c>
      <c r="J767" s="200">
        <f t="shared" si="204"/>
        <v>2355</v>
      </c>
      <c r="K767" s="201">
        <f t="shared" si="205"/>
        <v>-7082</v>
      </c>
      <c r="L767" s="43"/>
      <c r="N767" s="153">
        <v>148207</v>
      </c>
      <c r="O767" s="153">
        <v>83387</v>
      </c>
      <c r="P767" s="153">
        <v>6538</v>
      </c>
      <c r="Q767" s="153"/>
      <c r="R767" s="153">
        <v>30055</v>
      </c>
      <c r="S767" s="154">
        <v>6174.8</v>
      </c>
      <c r="T767" s="154"/>
      <c r="U767" s="154"/>
      <c r="V767" s="153">
        <v>208263</v>
      </c>
      <c r="W767" s="153">
        <v>112412</v>
      </c>
      <c r="X767" s="153">
        <v>86223</v>
      </c>
      <c r="Y767" s="153">
        <v>92778</v>
      </c>
      <c r="Z767" s="153">
        <v>158176</v>
      </c>
    </row>
    <row r="768" spans="1:26" ht="18" hidden="1" customHeight="1" x14ac:dyDescent="0.2">
      <c r="A768" s="47">
        <f t="shared" si="194"/>
        <v>43619</v>
      </c>
      <c r="B768" s="47" t="s">
        <v>96</v>
      </c>
      <c r="C768" s="48">
        <f t="shared" ref="C768:C774" si="206">(V769-V768)*1+(W769-W768)*32+(X769-X768)*12+(Y769-Y768)*6</f>
        <v>2588</v>
      </c>
      <c r="D768" s="99">
        <f t="shared" si="181"/>
        <v>1408</v>
      </c>
      <c r="E768" s="45">
        <f t="shared" si="182"/>
        <v>1382.0000000000218</v>
      </c>
      <c r="F768" s="45">
        <f t="shared" ref="F768:F774" si="207">(Z769-Z768)*1</f>
        <v>107</v>
      </c>
      <c r="G768" s="79">
        <f t="shared" ref="G768:G774" si="208">C768+D768+F768+E768</f>
        <v>5485.0000000000218</v>
      </c>
      <c r="H768" s="199">
        <v>4862</v>
      </c>
      <c r="I768" s="199">
        <v>928</v>
      </c>
      <c r="J768" s="200">
        <f t="shared" si="204"/>
        <v>5790</v>
      </c>
      <c r="K768" s="201">
        <f t="shared" si="205"/>
        <v>304.99999999997817</v>
      </c>
      <c r="L768" s="43"/>
      <c r="N768" s="112">
        <v>148387</v>
      </c>
      <c r="O768" s="112">
        <v>83466</v>
      </c>
      <c r="P768" s="112">
        <v>6559</v>
      </c>
      <c r="Q768" s="112"/>
      <c r="R768" s="112">
        <v>30135</v>
      </c>
      <c r="S768" s="113">
        <v>6206.3</v>
      </c>
      <c r="T768" s="113"/>
      <c r="U768" s="113"/>
      <c r="V768" s="112">
        <v>208687</v>
      </c>
      <c r="W768" s="112">
        <v>112486</v>
      </c>
      <c r="X768" s="112">
        <v>86297</v>
      </c>
      <c r="Y768" s="112">
        <v>92778</v>
      </c>
      <c r="Z768" s="112">
        <v>158465</v>
      </c>
    </row>
    <row r="769" spans="1:26" ht="18" hidden="1" customHeight="1" x14ac:dyDescent="0.2">
      <c r="A769" s="47">
        <f t="shared" si="194"/>
        <v>43620</v>
      </c>
      <c r="B769" s="47" t="s">
        <v>97</v>
      </c>
      <c r="C769" s="48">
        <f t="shared" si="206"/>
        <v>2700</v>
      </c>
      <c r="D769" s="99">
        <f t="shared" si="181"/>
        <v>1520</v>
      </c>
      <c r="E769" s="45">
        <f t="shared" si="182"/>
        <v>312.99999999995634</v>
      </c>
      <c r="F769" s="45">
        <f t="shared" si="207"/>
        <v>78</v>
      </c>
      <c r="G769" s="79">
        <f t="shared" si="208"/>
        <v>4610.9999999999563</v>
      </c>
      <c r="H769" s="199">
        <v>4663</v>
      </c>
      <c r="I769" s="199">
        <v>880</v>
      </c>
      <c r="J769" s="200">
        <f t="shared" si="204"/>
        <v>5543</v>
      </c>
      <c r="K769" s="201">
        <f t="shared" si="205"/>
        <v>932.00000000004366</v>
      </c>
      <c r="L769" s="43"/>
      <c r="N769" s="112">
        <v>148547</v>
      </c>
      <c r="O769" s="112">
        <v>83517</v>
      </c>
      <c r="P769" s="112">
        <v>6575</v>
      </c>
      <c r="Q769" s="112"/>
      <c r="R769" s="112">
        <v>30161</v>
      </c>
      <c r="S769" s="113">
        <v>6217.6</v>
      </c>
      <c r="T769" s="113"/>
      <c r="U769" s="113"/>
      <c r="V769" s="112">
        <v>208891</v>
      </c>
      <c r="W769" s="112">
        <v>112532</v>
      </c>
      <c r="X769" s="112">
        <v>86373</v>
      </c>
      <c r="Y769" s="112">
        <v>92778</v>
      </c>
      <c r="Z769" s="112">
        <v>158572</v>
      </c>
    </row>
    <row r="770" spans="1:26" ht="18" hidden="1" customHeight="1" x14ac:dyDescent="0.2">
      <c r="A770" s="47">
        <f t="shared" si="194"/>
        <v>43621</v>
      </c>
      <c r="B770" s="47" t="s">
        <v>98</v>
      </c>
      <c r="C770" s="48">
        <f t="shared" si="206"/>
        <v>2530</v>
      </c>
      <c r="D770" s="99">
        <f t="shared" si="181"/>
        <v>1544</v>
      </c>
      <c r="E770" s="45">
        <f t="shared" si="182"/>
        <v>1907.9999999999782</v>
      </c>
      <c r="F770" s="45">
        <f t="shared" si="207"/>
        <v>110</v>
      </c>
      <c r="G770" s="79">
        <f t="shared" si="208"/>
        <v>6091.9999999999782</v>
      </c>
      <c r="H770" s="199">
        <v>4438</v>
      </c>
      <c r="I770" s="199">
        <v>899</v>
      </c>
      <c r="J770" s="200">
        <f t="shared" si="204"/>
        <v>5337</v>
      </c>
      <c r="K770" s="201">
        <f t="shared" si="205"/>
        <v>-754.99999999997817</v>
      </c>
      <c r="L770" s="43"/>
      <c r="N770" s="112">
        <v>148727</v>
      </c>
      <c r="O770" s="112">
        <v>83583</v>
      </c>
      <c r="P770" s="112">
        <v>6585</v>
      </c>
      <c r="Q770" s="112"/>
      <c r="R770" s="112">
        <v>30186</v>
      </c>
      <c r="S770" s="113">
        <v>6220</v>
      </c>
      <c r="T770" s="113"/>
      <c r="U770" s="113"/>
      <c r="V770" s="112">
        <v>209095</v>
      </c>
      <c r="W770" s="112">
        <v>112583</v>
      </c>
      <c r="X770" s="112">
        <v>86445</v>
      </c>
      <c r="Y770" s="112">
        <v>92778</v>
      </c>
      <c r="Z770" s="112">
        <v>158650</v>
      </c>
    </row>
    <row r="771" spans="1:26" ht="18" hidden="1" customHeight="1" x14ac:dyDescent="0.2">
      <c r="A771" s="47">
        <f t="shared" si="194"/>
        <v>43622</v>
      </c>
      <c r="B771" s="47" t="s">
        <v>99</v>
      </c>
      <c r="C771" s="48">
        <f t="shared" si="206"/>
        <v>0</v>
      </c>
      <c r="D771" s="99">
        <f t="shared" si="181"/>
        <v>0</v>
      </c>
      <c r="E771" s="45">
        <f t="shared" si="182"/>
        <v>0</v>
      </c>
      <c r="F771" s="45">
        <f t="shared" si="207"/>
        <v>0</v>
      </c>
      <c r="G771" s="79">
        <f t="shared" si="208"/>
        <v>0</v>
      </c>
      <c r="H771" s="199">
        <v>4271</v>
      </c>
      <c r="I771" s="199">
        <v>927</v>
      </c>
      <c r="J771" s="200">
        <f t="shared" si="204"/>
        <v>5198</v>
      </c>
      <c r="K771" s="201">
        <f t="shared" si="205"/>
        <v>5198</v>
      </c>
      <c r="L771" s="43"/>
      <c r="N771" s="112">
        <v>148907</v>
      </c>
      <c r="O771" s="112">
        <v>83652</v>
      </c>
      <c r="P771" s="112">
        <v>6598</v>
      </c>
      <c r="Q771" s="112"/>
      <c r="R771" s="112">
        <v>30210</v>
      </c>
      <c r="S771" s="113">
        <v>6235.7</v>
      </c>
      <c r="T771" s="113"/>
      <c r="U771" s="113"/>
      <c r="V771" s="112">
        <v>209309</v>
      </c>
      <c r="W771" s="112">
        <v>112631</v>
      </c>
      <c r="X771" s="112">
        <v>86510</v>
      </c>
      <c r="Y771" s="112">
        <v>92778</v>
      </c>
      <c r="Z771" s="112">
        <v>158760</v>
      </c>
    </row>
    <row r="772" spans="1:26" ht="18" hidden="1" customHeight="1" x14ac:dyDescent="0.2">
      <c r="A772" s="47">
        <f t="shared" si="194"/>
        <v>43623</v>
      </c>
      <c r="B772" s="47" t="s">
        <v>100</v>
      </c>
      <c r="C772" s="48">
        <f t="shared" si="206"/>
        <v>0</v>
      </c>
      <c r="D772" s="99">
        <f t="shared" si="181"/>
        <v>0</v>
      </c>
      <c r="E772" s="45">
        <f t="shared" si="182"/>
        <v>0</v>
      </c>
      <c r="F772" s="45">
        <f t="shared" si="207"/>
        <v>0</v>
      </c>
      <c r="G772" s="79">
        <f t="shared" si="208"/>
        <v>0</v>
      </c>
      <c r="H772" s="199">
        <v>0</v>
      </c>
      <c r="I772" s="199">
        <v>2249</v>
      </c>
      <c r="J772" s="200">
        <f t="shared" si="204"/>
        <v>2249</v>
      </c>
      <c r="K772" s="201">
        <f t="shared" si="205"/>
        <v>2249</v>
      </c>
      <c r="L772" s="43"/>
      <c r="N772" s="153">
        <v>148907</v>
      </c>
      <c r="O772" s="153">
        <v>83652</v>
      </c>
      <c r="P772" s="153">
        <v>6598</v>
      </c>
      <c r="Q772" s="153"/>
      <c r="R772" s="153">
        <v>30210</v>
      </c>
      <c r="S772" s="154">
        <v>6235.7</v>
      </c>
      <c r="T772" s="154"/>
      <c r="U772" s="154"/>
      <c r="V772" s="153">
        <v>209309</v>
      </c>
      <c r="W772" s="153">
        <v>112631</v>
      </c>
      <c r="X772" s="153">
        <v>86510</v>
      </c>
      <c r="Y772" s="153">
        <v>92778</v>
      </c>
      <c r="Z772" s="153">
        <v>158760</v>
      </c>
    </row>
    <row r="773" spans="1:26" ht="18" hidden="1" customHeight="1" x14ac:dyDescent="0.2">
      <c r="A773" s="47">
        <f t="shared" si="194"/>
        <v>43624</v>
      </c>
      <c r="B773" s="56" t="s">
        <v>103</v>
      </c>
      <c r="C773" s="48">
        <f t="shared" si="206"/>
        <v>0</v>
      </c>
      <c r="D773" s="99">
        <f t="shared" si="181"/>
        <v>0</v>
      </c>
      <c r="E773" s="45">
        <f t="shared" si="182"/>
        <v>0</v>
      </c>
      <c r="F773" s="45">
        <f t="shared" si="207"/>
        <v>0</v>
      </c>
      <c r="G773" s="79">
        <f t="shared" si="208"/>
        <v>0</v>
      </c>
      <c r="H773" s="199">
        <v>0</v>
      </c>
      <c r="I773" s="199">
        <f>1642+309</f>
        <v>1951</v>
      </c>
      <c r="J773" s="200">
        <f t="shared" si="204"/>
        <v>1951</v>
      </c>
      <c r="K773" s="201">
        <f t="shared" si="205"/>
        <v>1951</v>
      </c>
      <c r="L773" s="43"/>
      <c r="N773" s="153">
        <v>148907</v>
      </c>
      <c r="O773" s="153">
        <v>83652</v>
      </c>
      <c r="P773" s="153">
        <v>6598</v>
      </c>
      <c r="Q773" s="153"/>
      <c r="R773" s="153">
        <v>30210</v>
      </c>
      <c r="S773" s="154">
        <v>6235.7</v>
      </c>
      <c r="T773" s="154"/>
      <c r="U773" s="154"/>
      <c r="V773" s="153">
        <v>209309</v>
      </c>
      <c r="W773" s="153">
        <v>112631</v>
      </c>
      <c r="X773" s="153">
        <v>86510</v>
      </c>
      <c r="Y773" s="153">
        <v>92778</v>
      </c>
      <c r="Z773" s="153">
        <v>158760</v>
      </c>
    </row>
    <row r="774" spans="1:26" ht="18" hidden="1" customHeight="1" x14ac:dyDescent="0.2">
      <c r="A774" s="47">
        <f t="shared" si="194"/>
        <v>43625</v>
      </c>
      <c r="B774" s="56" t="s">
        <v>104</v>
      </c>
      <c r="C774" s="48">
        <f t="shared" si="206"/>
        <v>3700</v>
      </c>
      <c r="D774" s="99">
        <f t="shared" si="181"/>
        <v>1504</v>
      </c>
      <c r="E774" s="45">
        <f t="shared" si="182"/>
        <v>4813</v>
      </c>
      <c r="F774" s="45">
        <f t="shared" si="207"/>
        <v>447</v>
      </c>
      <c r="G774" s="79">
        <f t="shared" si="208"/>
        <v>10464</v>
      </c>
      <c r="H774" s="199">
        <v>0</v>
      </c>
      <c r="I774" s="199">
        <v>2030</v>
      </c>
      <c r="J774" s="200">
        <f t="shared" si="204"/>
        <v>2030</v>
      </c>
      <c r="K774" s="201">
        <f t="shared" si="205"/>
        <v>-8434</v>
      </c>
      <c r="L774" s="43"/>
      <c r="N774" s="153">
        <v>148907</v>
      </c>
      <c r="O774" s="153">
        <v>83652</v>
      </c>
      <c r="P774" s="153">
        <v>6598</v>
      </c>
      <c r="Q774" s="153"/>
      <c r="R774" s="153">
        <v>30210</v>
      </c>
      <c r="S774" s="154">
        <v>6235.7</v>
      </c>
      <c r="T774" s="154"/>
      <c r="U774" s="154"/>
      <c r="V774" s="153">
        <v>209309</v>
      </c>
      <c r="W774" s="153">
        <v>112631</v>
      </c>
      <c r="X774" s="153">
        <v>86510</v>
      </c>
      <c r="Y774" s="153">
        <v>92778</v>
      </c>
      <c r="Z774" s="153">
        <v>158760</v>
      </c>
    </row>
    <row r="775" spans="1:26" ht="18" hidden="1" customHeight="1" x14ac:dyDescent="0.2">
      <c r="A775" s="47">
        <f t="shared" si="194"/>
        <v>43626</v>
      </c>
      <c r="B775" s="47" t="s">
        <v>96</v>
      </c>
      <c r="C775" s="48">
        <f t="shared" ref="C775:C781" si="209">(V776-V775)*1+(W776-W775)*32+(X776-X775)*12+(Y776-Y775)*6</f>
        <v>2294</v>
      </c>
      <c r="D775" s="99">
        <f t="shared" si="181"/>
        <v>1528</v>
      </c>
      <c r="E775" s="45">
        <f t="shared" si="182"/>
        <v>1263.9999999999782</v>
      </c>
      <c r="F775" s="45">
        <f t="shared" ref="F775:F781" si="210">(Z776-Z775)*1</f>
        <v>120</v>
      </c>
      <c r="G775" s="79">
        <f t="shared" ref="G775:G781" si="211">C775+D775+F775+E775</f>
        <v>5205.9999999999782</v>
      </c>
      <c r="H775" s="199">
        <v>4359</v>
      </c>
      <c r="I775" s="199">
        <v>476</v>
      </c>
      <c r="J775" s="200">
        <f t="shared" si="204"/>
        <v>4835</v>
      </c>
      <c r="K775" s="201">
        <f t="shared" si="205"/>
        <v>-370.99999999997817</v>
      </c>
      <c r="L775" s="43"/>
      <c r="N775" s="112">
        <v>149076</v>
      </c>
      <c r="O775" s="112">
        <v>83711</v>
      </c>
      <c r="P775" s="112">
        <v>6617</v>
      </c>
      <c r="Q775" s="112"/>
      <c r="R775" s="112">
        <v>30343</v>
      </c>
      <c r="S775" s="113">
        <v>6274.7</v>
      </c>
      <c r="T775" s="113"/>
      <c r="U775" s="113"/>
      <c r="V775" s="112">
        <v>209821</v>
      </c>
      <c r="W775" s="112">
        <v>112704</v>
      </c>
      <c r="X775" s="112">
        <v>86581</v>
      </c>
      <c r="Y775" s="112">
        <v>92778</v>
      </c>
      <c r="Z775" s="112">
        <v>159207</v>
      </c>
    </row>
    <row r="776" spans="1:26" ht="18" hidden="1" customHeight="1" x14ac:dyDescent="0.2">
      <c r="A776" s="47">
        <f t="shared" si="194"/>
        <v>43627</v>
      </c>
      <c r="B776" s="47" t="s">
        <v>97</v>
      </c>
      <c r="C776" s="48">
        <f t="shared" si="209"/>
        <v>1801</v>
      </c>
      <c r="D776" s="99">
        <f t="shared" si="181"/>
        <v>1592</v>
      </c>
      <c r="E776" s="45">
        <f t="shared" si="182"/>
        <v>1090.0000000000218</v>
      </c>
      <c r="F776" s="45">
        <f t="shared" si="210"/>
        <v>85</v>
      </c>
      <c r="G776" s="79">
        <f t="shared" si="211"/>
        <v>4568.0000000000218</v>
      </c>
      <c r="H776" s="199">
        <v>3774</v>
      </c>
      <c r="I776" s="199">
        <v>932</v>
      </c>
      <c r="J776" s="200">
        <f t="shared" si="204"/>
        <v>4706</v>
      </c>
      <c r="K776" s="201">
        <f t="shared" si="205"/>
        <v>137.99999999997817</v>
      </c>
      <c r="L776" s="43"/>
      <c r="N776" s="112">
        <v>149257</v>
      </c>
      <c r="O776" s="112">
        <v>83781</v>
      </c>
      <c r="P776" s="112">
        <v>6627</v>
      </c>
      <c r="Q776" s="112"/>
      <c r="R776" s="112">
        <v>30383</v>
      </c>
      <c r="S776" s="113">
        <v>6284.9</v>
      </c>
      <c r="T776" s="113"/>
      <c r="U776" s="113"/>
      <c r="V776" s="112">
        <v>210067</v>
      </c>
      <c r="W776" s="112">
        <v>112744</v>
      </c>
      <c r="X776" s="112">
        <v>86645</v>
      </c>
      <c r="Y776" s="112">
        <v>92778</v>
      </c>
      <c r="Z776" s="112">
        <v>159327</v>
      </c>
    </row>
    <row r="777" spans="1:26" ht="18" hidden="1" customHeight="1" x14ac:dyDescent="0.2">
      <c r="A777" s="47">
        <f t="shared" si="194"/>
        <v>43628</v>
      </c>
      <c r="B777" s="47" t="s">
        <v>98</v>
      </c>
      <c r="C777" s="48">
        <f t="shared" si="209"/>
        <v>1957</v>
      </c>
      <c r="D777" s="99">
        <f t="shared" si="181"/>
        <v>1568</v>
      </c>
      <c r="E777" s="45">
        <f t="shared" si="182"/>
        <v>1056</v>
      </c>
      <c r="F777" s="45">
        <f t="shared" si="210"/>
        <v>95</v>
      </c>
      <c r="G777" s="79">
        <f t="shared" si="211"/>
        <v>4676</v>
      </c>
      <c r="H777" s="199">
        <v>3963</v>
      </c>
      <c r="I777" s="199">
        <v>941</v>
      </c>
      <c r="J777" s="200">
        <f t="shared" si="204"/>
        <v>4904</v>
      </c>
      <c r="K777" s="201">
        <f t="shared" si="205"/>
        <v>228</v>
      </c>
      <c r="L777" s="43"/>
      <c r="N777" s="112">
        <v>149437</v>
      </c>
      <c r="O777" s="112">
        <v>83849</v>
      </c>
      <c r="P777" s="112">
        <v>6646</v>
      </c>
      <c r="Q777" s="112"/>
      <c r="R777" s="112">
        <v>30417</v>
      </c>
      <c r="S777" s="113">
        <v>6293.7</v>
      </c>
      <c r="T777" s="113"/>
      <c r="U777" s="113"/>
      <c r="V777" s="112">
        <v>210264</v>
      </c>
      <c r="W777" s="112">
        <v>112775</v>
      </c>
      <c r="X777" s="112">
        <v>86696</v>
      </c>
      <c r="Y777" s="112">
        <v>92778</v>
      </c>
      <c r="Z777" s="112">
        <v>159412</v>
      </c>
    </row>
    <row r="778" spans="1:26" ht="18" hidden="1" customHeight="1" x14ac:dyDescent="0.2">
      <c r="A778" s="47">
        <f t="shared" si="194"/>
        <v>43629</v>
      </c>
      <c r="B778" s="47" t="s">
        <v>99</v>
      </c>
      <c r="C778" s="48">
        <f t="shared" si="209"/>
        <v>2239</v>
      </c>
      <c r="D778" s="99">
        <f t="shared" si="181"/>
        <v>1600</v>
      </c>
      <c r="E778" s="45">
        <f t="shared" si="182"/>
        <v>1024.0000000000218</v>
      </c>
      <c r="F778" s="45">
        <f t="shared" si="210"/>
        <v>81</v>
      </c>
      <c r="G778" s="79">
        <f t="shared" si="211"/>
        <v>4944.0000000000218</v>
      </c>
      <c r="H778" s="199">
        <v>3954</v>
      </c>
      <c r="I778" s="199">
        <v>914</v>
      </c>
      <c r="J778" s="200">
        <f t="shared" si="204"/>
        <v>4868</v>
      </c>
      <c r="K778" s="201">
        <f t="shared" si="205"/>
        <v>-76.000000000021828</v>
      </c>
      <c r="L778" s="43"/>
      <c r="N778" s="112">
        <v>149627</v>
      </c>
      <c r="O778" s="112">
        <v>83923</v>
      </c>
      <c r="P778" s="112">
        <v>6652</v>
      </c>
      <c r="Q778" s="112"/>
      <c r="R778" s="112">
        <v>30453</v>
      </c>
      <c r="S778" s="113">
        <v>6302.2</v>
      </c>
      <c r="T778" s="113"/>
      <c r="U778" s="113"/>
      <c r="V778" s="112">
        <v>210465</v>
      </c>
      <c r="W778" s="112">
        <v>112807</v>
      </c>
      <c r="X778" s="112">
        <v>86757</v>
      </c>
      <c r="Y778" s="112">
        <v>92778</v>
      </c>
      <c r="Z778" s="112">
        <v>159507</v>
      </c>
    </row>
    <row r="779" spans="1:26" ht="18" hidden="1" customHeight="1" x14ac:dyDescent="0.2">
      <c r="A779" s="47">
        <f t="shared" si="194"/>
        <v>43630</v>
      </c>
      <c r="B779" s="47" t="s">
        <v>100</v>
      </c>
      <c r="C779" s="48">
        <f t="shared" si="209"/>
        <v>0</v>
      </c>
      <c r="D779" s="99">
        <f t="shared" si="181"/>
        <v>0</v>
      </c>
      <c r="E779" s="45">
        <f t="shared" si="182"/>
        <v>0</v>
      </c>
      <c r="F779" s="45">
        <f t="shared" si="210"/>
        <v>0</v>
      </c>
      <c r="G779" s="79">
        <f t="shared" si="211"/>
        <v>0</v>
      </c>
      <c r="H779" s="199">
        <v>3462</v>
      </c>
      <c r="I779" s="199">
        <v>842</v>
      </c>
      <c r="J779" s="200">
        <f t="shared" si="204"/>
        <v>4304</v>
      </c>
      <c r="K779" s="201">
        <f t="shared" si="205"/>
        <v>4304</v>
      </c>
      <c r="L779" s="43"/>
      <c r="N779" s="112">
        <v>149817</v>
      </c>
      <c r="O779" s="112">
        <v>83996</v>
      </c>
      <c r="P779" s="112">
        <v>6662</v>
      </c>
      <c r="Q779" s="112"/>
      <c r="R779" s="112">
        <v>30481</v>
      </c>
      <c r="S779" s="113">
        <v>6310.5</v>
      </c>
      <c r="T779" s="113"/>
      <c r="U779" s="113"/>
      <c r="V779" s="112">
        <v>210680</v>
      </c>
      <c r="W779" s="112">
        <v>112847</v>
      </c>
      <c r="X779" s="112">
        <v>86819</v>
      </c>
      <c r="Y779" s="112">
        <v>92778</v>
      </c>
      <c r="Z779" s="112">
        <v>159588</v>
      </c>
    </row>
    <row r="780" spans="1:26" ht="18" hidden="1" customHeight="1" x14ac:dyDescent="0.2">
      <c r="A780" s="47">
        <f t="shared" si="194"/>
        <v>43631</v>
      </c>
      <c r="B780" s="56" t="s">
        <v>103</v>
      </c>
      <c r="C780" s="48">
        <f t="shared" si="209"/>
        <v>0</v>
      </c>
      <c r="D780" s="99">
        <f t="shared" si="181"/>
        <v>0</v>
      </c>
      <c r="E780" s="45">
        <f t="shared" si="182"/>
        <v>0</v>
      </c>
      <c r="F780" s="45">
        <f t="shared" si="210"/>
        <v>0</v>
      </c>
      <c r="G780" s="79">
        <f t="shared" si="211"/>
        <v>0</v>
      </c>
      <c r="H780" s="199">
        <v>0</v>
      </c>
      <c r="I780" s="199">
        <f>1549+308</f>
        <v>1857</v>
      </c>
      <c r="J780" s="200">
        <f t="shared" si="204"/>
        <v>1857</v>
      </c>
      <c r="K780" s="201">
        <f t="shared" si="205"/>
        <v>1857</v>
      </c>
      <c r="L780" s="43"/>
      <c r="N780" s="153">
        <v>149817</v>
      </c>
      <c r="O780" s="153">
        <v>83996</v>
      </c>
      <c r="P780" s="153">
        <v>6662</v>
      </c>
      <c r="Q780" s="153"/>
      <c r="R780" s="153">
        <v>30481</v>
      </c>
      <c r="S780" s="154">
        <v>6310.5</v>
      </c>
      <c r="T780" s="154"/>
      <c r="U780" s="154"/>
      <c r="V780" s="153">
        <v>210680</v>
      </c>
      <c r="W780" s="153">
        <v>112847</v>
      </c>
      <c r="X780" s="153">
        <v>86819</v>
      </c>
      <c r="Y780" s="153">
        <v>92778</v>
      </c>
      <c r="Z780" s="153">
        <v>159588</v>
      </c>
    </row>
    <row r="781" spans="1:26" ht="18" hidden="1" customHeight="1" x14ac:dyDescent="0.2">
      <c r="A781" s="47">
        <f t="shared" si="194"/>
        <v>43632</v>
      </c>
      <c r="B781" s="56" t="s">
        <v>104</v>
      </c>
      <c r="C781" s="48">
        <f t="shared" si="209"/>
        <v>2381</v>
      </c>
      <c r="D781" s="99">
        <f t="shared" si="181"/>
        <v>1672</v>
      </c>
      <c r="E781" s="45">
        <f t="shared" si="182"/>
        <v>3327</v>
      </c>
      <c r="F781" s="45">
        <f t="shared" si="210"/>
        <v>271</v>
      </c>
      <c r="G781" s="79">
        <f t="shared" si="211"/>
        <v>7651</v>
      </c>
      <c r="H781" s="199">
        <v>0</v>
      </c>
      <c r="I781" s="199">
        <v>2043</v>
      </c>
      <c r="J781" s="200">
        <f t="shared" si="204"/>
        <v>2043</v>
      </c>
      <c r="K781" s="201">
        <f t="shared" si="205"/>
        <v>-5608</v>
      </c>
      <c r="L781" s="43"/>
      <c r="N781" s="153">
        <v>149817</v>
      </c>
      <c r="O781" s="153">
        <v>83996</v>
      </c>
      <c r="P781" s="153">
        <v>6662</v>
      </c>
      <c r="Q781" s="153"/>
      <c r="R781" s="153">
        <v>30481</v>
      </c>
      <c r="S781" s="154">
        <v>6310.5</v>
      </c>
      <c r="T781" s="154"/>
      <c r="U781" s="154"/>
      <c r="V781" s="153">
        <v>210680</v>
      </c>
      <c r="W781" s="153">
        <v>112847</v>
      </c>
      <c r="X781" s="153">
        <v>86819</v>
      </c>
      <c r="Y781" s="153">
        <v>92778</v>
      </c>
      <c r="Z781" s="153">
        <v>159588</v>
      </c>
    </row>
    <row r="782" spans="1:26" ht="18" hidden="1" customHeight="1" x14ac:dyDescent="0.2">
      <c r="A782" s="47">
        <f t="shared" si="194"/>
        <v>43633</v>
      </c>
      <c r="B782" s="47" t="s">
        <v>96</v>
      </c>
      <c r="C782" s="48">
        <f t="shared" ref="C782:C788" si="212">(V783-V782)*1+(W783-W782)*32+(X783-X782)*12+(Y783-Y782)*6</f>
        <v>2380</v>
      </c>
      <c r="D782" s="99">
        <f t="shared" si="181"/>
        <v>1616</v>
      </c>
      <c r="E782" s="45">
        <f t="shared" si="182"/>
        <v>1254.9999999999782</v>
      </c>
      <c r="F782" s="45">
        <f t="shared" ref="F782:F788" si="213">(Z783-Z782)*1</f>
        <v>102</v>
      </c>
      <c r="G782" s="79">
        <f t="shared" ref="G782:G788" si="214">C782+D782+F782+E782</f>
        <v>5352.9999999999782</v>
      </c>
      <c r="H782" s="199">
        <v>4575</v>
      </c>
      <c r="I782" s="199">
        <v>897</v>
      </c>
      <c r="J782" s="200">
        <f t="shared" si="204"/>
        <v>5472</v>
      </c>
      <c r="K782" s="201">
        <f t="shared" si="205"/>
        <v>119.00000000002183</v>
      </c>
      <c r="L782" s="43"/>
      <c r="N782" s="112">
        <v>150007</v>
      </c>
      <c r="O782" s="112">
        <v>84066</v>
      </c>
      <c r="P782" s="112">
        <v>6681</v>
      </c>
      <c r="Q782" s="112"/>
      <c r="R782" s="112">
        <v>30568</v>
      </c>
      <c r="S782" s="113">
        <v>6337.5</v>
      </c>
      <c r="T782" s="113"/>
      <c r="U782" s="113"/>
      <c r="V782" s="112">
        <v>211029</v>
      </c>
      <c r="W782" s="112">
        <v>112891</v>
      </c>
      <c r="X782" s="112">
        <v>86871</v>
      </c>
      <c r="Y782" s="112">
        <v>92778</v>
      </c>
      <c r="Z782" s="112">
        <v>159859</v>
      </c>
    </row>
    <row r="783" spans="1:26" ht="18" hidden="1" customHeight="1" x14ac:dyDescent="0.2">
      <c r="A783" s="47">
        <f t="shared" si="194"/>
        <v>43634</v>
      </c>
      <c r="B783" s="47" t="s">
        <v>97</v>
      </c>
      <c r="C783" s="48">
        <f t="shared" si="212"/>
        <v>2317</v>
      </c>
      <c r="D783" s="99">
        <f t="shared" si="181"/>
        <v>1632</v>
      </c>
      <c r="E783" s="45">
        <f t="shared" si="182"/>
        <v>1062.0000000000437</v>
      </c>
      <c r="F783" s="45">
        <f t="shared" si="213"/>
        <v>110</v>
      </c>
      <c r="G783" s="79">
        <f t="shared" si="214"/>
        <v>5121.0000000000437</v>
      </c>
      <c r="H783" s="199">
        <v>4312</v>
      </c>
      <c r="I783" s="199">
        <v>940</v>
      </c>
      <c r="J783" s="200">
        <f t="shared" si="204"/>
        <v>5252</v>
      </c>
      <c r="K783" s="201">
        <f t="shared" si="205"/>
        <v>130.99999999995634</v>
      </c>
      <c r="L783" s="43"/>
      <c r="N783" s="112">
        <v>150197</v>
      </c>
      <c r="O783" s="112">
        <v>84139</v>
      </c>
      <c r="P783" s="112">
        <v>6693</v>
      </c>
      <c r="Q783" s="112"/>
      <c r="R783" s="112">
        <v>30599</v>
      </c>
      <c r="S783" s="113">
        <v>6347.7</v>
      </c>
      <c r="T783" s="113"/>
      <c r="U783" s="113"/>
      <c r="V783" s="112">
        <v>211285</v>
      </c>
      <c r="W783" s="112">
        <v>112933</v>
      </c>
      <c r="X783" s="112">
        <v>86936</v>
      </c>
      <c r="Y783" s="112">
        <v>92778</v>
      </c>
      <c r="Z783" s="112">
        <v>159961</v>
      </c>
    </row>
    <row r="784" spans="1:26" ht="18" hidden="1" customHeight="1" x14ac:dyDescent="0.2">
      <c r="A784" s="47">
        <f t="shared" si="194"/>
        <v>43635</v>
      </c>
      <c r="B784" s="47" t="s">
        <v>98</v>
      </c>
      <c r="C784" s="48">
        <f t="shared" si="212"/>
        <v>2876</v>
      </c>
      <c r="D784" s="99">
        <f t="shared" si="181"/>
        <v>1696</v>
      </c>
      <c r="E784" s="45">
        <f t="shared" si="182"/>
        <v>1062.9999999999345</v>
      </c>
      <c r="F784" s="45">
        <f t="shared" si="213"/>
        <v>108</v>
      </c>
      <c r="G784" s="79">
        <f t="shared" si="214"/>
        <v>5742.9999999999345</v>
      </c>
      <c r="H784" s="199">
        <v>4733</v>
      </c>
      <c r="I784" s="199">
        <v>1006</v>
      </c>
      <c r="J784" s="200">
        <f t="shared" si="204"/>
        <v>5739</v>
      </c>
      <c r="K784" s="201">
        <f t="shared" si="205"/>
        <v>-3.9999999999345164</v>
      </c>
      <c r="L784" s="43"/>
      <c r="N784" s="112">
        <v>150387</v>
      </c>
      <c r="O784" s="112">
        <v>84212</v>
      </c>
      <c r="P784" s="112">
        <v>6707</v>
      </c>
      <c r="Q784" s="112"/>
      <c r="R784" s="112">
        <v>30629</v>
      </c>
      <c r="S784" s="113">
        <v>6356.3</v>
      </c>
      <c r="T784" s="113"/>
      <c r="U784" s="113"/>
      <c r="V784" s="112">
        <v>211542</v>
      </c>
      <c r="W784" s="112">
        <v>112976</v>
      </c>
      <c r="X784" s="112">
        <v>86993</v>
      </c>
      <c r="Y784" s="112">
        <v>92778</v>
      </c>
      <c r="Z784" s="112">
        <v>160071</v>
      </c>
    </row>
    <row r="785" spans="1:26" ht="18" hidden="1" customHeight="1" x14ac:dyDescent="0.2">
      <c r="A785" s="47">
        <f t="shared" si="194"/>
        <v>43636</v>
      </c>
      <c r="B785" s="47" t="s">
        <v>99</v>
      </c>
      <c r="C785" s="48">
        <f t="shared" si="212"/>
        <v>2552</v>
      </c>
      <c r="D785" s="99">
        <f t="shared" si="181"/>
        <v>1688</v>
      </c>
      <c r="E785" s="45">
        <f t="shared" si="182"/>
        <v>1038.0000000000655</v>
      </c>
      <c r="F785" s="45">
        <f t="shared" si="213"/>
        <v>126</v>
      </c>
      <c r="G785" s="79">
        <f t="shared" si="214"/>
        <v>5404.0000000000655</v>
      </c>
      <c r="H785" s="199">
        <v>4627</v>
      </c>
      <c r="I785" s="199">
        <v>1116</v>
      </c>
      <c r="J785" s="200">
        <f t="shared" si="204"/>
        <v>5743</v>
      </c>
      <c r="K785" s="201">
        <f t="shared" si="205"/>
        <v>338.99999999993452</v>
      </c>
      <c r="L785" s="43"/>
      <c r="N785" s="112">
        <v>150587</v>
      </c>
      <c r="O785" s="112">
        <v>84287</v>
      </c>
      <c r="P785" s="112">
        <v>6719</v>
      </c>
      <c r="Q785" s="112"/>
      <c r="R785" s="112">
        <v>30660</v>
      </c>
      <c r="S785" s="113">
        <v>6364.9</v>
      </c>
      <c r="T785" s="113"/>
      <c r="U785" s="113"/>
      <c r="V785" s="112">
        <v>211814</v>
      </c>
      <c r="W785" s="112">
        <v>113033</v>
      </c>
      <c r="X785" s="112">
        <v>87058</v>
      </c>
      <c r="Y785" s="112">
        <v>92778</v>
      </c>
      <c r="Z785" s="112">
        <v>160179</v>
      </c>
    </row>
    <row r="786" spans="1:26" ht="18" hidden="1" customHeight="1" x14ac:dyDescent="0.2">
      <c r="A786" s="47">
        <f t="shared" si="194"/>
        <v>43637</v>
      </c>
      <c r="B786" s="47" t="s">
        <v>100</v>
      </c>
      <c r="C786" s="48">
        <f t="shared" si="212"/>
        <v>0</v>
      </c>
      <c r="D786" s="99">
        <f t="shared" si="181"/>
        <v>0</v>
      </c>
      <c r="E786" s="45">
        <f t="shared" si="182"/>
        <v>0</v>
      </c>
      <c r="F786" s="45">
        <f t="shared" si="213"/>
        <v>0</v>
      </c>
      <c r="G786" s="79">
        <f t="shared" si="214"/>
        <v>0</v>
      </c>
      <c r="H786" s="199">
        <v>4206</v>
      </c>
      <c r="I786" s="199">
        <v>870</v>
      </c>
      <c r="J786" s="200">
        <f t="shared" si="204"/>
        <v>5076</v>
      </c>
      <c r="K786" s="201">
        <f t="shared" si="205"/>
        <v>5076</v>
      </c>
      <c r="L786" s="43"/>
      <c r="N786" s="112">
        <v>150787</v>
      </c>
      <c r="O786" s="112">
        <v>84365</v>
      </c>
      <c r="P786" s="112">
        <v>6730</v>
      </c>
      <c r="Q786" s="112"/>
      <c r="R786" s="112">
        <v>30690</v>
      </c>
      <c r="S786" s="113">
        <v>6373.3</v>
      </c>
      <c r="T786" s="113"/>
      <c r="U786" s="113"/>
      <c r="V786" s="112">
        <v>212030</v>
      </c>
      <c r="W786" s="112">
        <v>113082</v>
      </c>
      <c r="X786" s="112">
        <v>87122</v>
      </c>
      <c r="Y786" s="112">
        <v>92778</v>
      </c>
      <c r="Z786" s="112">
        <v>160305</v>
      </c>
    </row>
    <row r="787" spans="1:26" ht="18" hidden="1" customHeight="1" x14ac:dyDescent="0.2">
      <c r="A787" s="47">
        <f t="shared" si="194"/>
        <v>43638</v>
      </c>
      <c r="B787" s="56" t="s">
        <v>103</v>
      </c>
      <c r="C787" s="48">
        <f t="shared" si="212"/>
        <v>0</v>
      </c>
      <c r="D787" s="99">
        <f t="shared" si="181"/>
        <v>0</v>
      </c>
      <c r="E787" s="45">
        <f t="shared" si="182"/>
        <v>0</v>
      </c>
      <c r="F787" s="45">
        <f t="shared" si="213"/>
        <v>0</v>
      </c>
      <c r="G787" s="79">
        <f t="shared" si="214"/>
        <v>0</v>
      </c>
      <c r="H787" s="199">
        <v>0</v>
      </c>
      <c r="I787" s="199">
        <f>1615+328</f>
        <v>1943</v>
      </c>
      <c r="J787" s="200">
        <f t="shared" si="204"/>
        <v>1943</v>
      </c>
      <c r="K787" s="201">
        <f t="shared" si="205"/>
        <v>1943</v>
      </c>
      <c r="L787" s="43"/>
      <c r="N787" s="160">
        <v>150787</v>
      </c>
      <c r="O787" s="160">
        <v>84365</v>
      </c>
      <c r="P787" s="160">
        <v>6730</v>
      </c>
      <c r="Q787" s="160"/>
      <c r="R787" s="160">
        <v>30690</v>
      </c>
      <c r="S787" s="161">
        <v>6373.3</v>
      </c>
      <c r="T787" s="161"/>
      <c r="U787" s="161"/>
      <c r="V787" s="160">
        <v>212030</v>
      </c>
      <c r="W787" s="160">
        <v>113082</v>
      </c>
      <c r="X787" s="160">
        <v>87122</v>
      </c>
      <c r="Y787" s="160">
        <v>92778</v>
      </c>
      <c r="Z787" s="160">
        <v>160305</v>
      </c>
    </row>
    <row r="788" spans="1:26" ht="18" hidden="1" customHeight="1" x14ac:dyDescent="0.2">
      <c r="A788" s="47">
        <f t="shared" si="194"/>
        <v>43639</v>
      </c>
      <c r="B788" s="56" t="s">
        <v>104</v>
      </c>
      <c r="C788" s="48">
        <f t="shared" si="212"/>
        <v>3405</v>
      </c>
      <c r="D788" s="99">
        <f t="shared" si="181"/>
        <v>1976</v>
      </c>
      <c r="E788" s="45">
        <f t="shared" si="182"/>
        <v>3271</v>
      </c>
      <c r="F788" s="45">
        <f t="shared" si="213"/>
        <v>303</v>
      </c>
      <c r="G788" s="79">
        <f t="shared" si="214"/>
        <v>8955</v>
      </c>
      <c r="H788" s="199">
        <v>0</v>
      </c>
      <c r="I788" s="199">
        <v>2231</v>
      </c>
      <c r="J788" s="200">
        <f t="shared" si="204"/>
        <v>2231</v>
      </c>
      <c r="K788" s="201">
        <f t="shared" si="205"/>
        <v>-6724</v>
      </c>
      <c r="L788" s="43"/>
      <c r="N788" s="160">
        <v>150787</v>
      </c>
      <c r="O788" s="160">
        <v>84365</v>
      </c>
      <c r="P788" s="160">
        <v>6730</v>
      </c>
      <c r="Q788" s="160"/>
      <c r="R788" s="160">
        <v>30690</v>
      </c>
      <c r="S788" s="161">
        <v>6373.3</v>
      </c>
      <c r="T788" s="161"/>
      <c r="U788" s="161"/>
      <c r="V788" s="160">
        <v>212030</v>
      </c>
      <c r="W788" s="160">
        <v>113082</v>
      </c>
      <c r="X788" s="160">
        <v>87122</v>
      </c>
      <c r="Y788" s="160">
        <v>92778</v>
      </c>
      <c r="Z788" s="160">
        <v>160305</v>
      </c>
    </row>
    <row r="789" spans="1:26" ht="18" hidden="1" customHeight="1" x14ac:dyDescent="0.2">
      <c r="A789" s="47">
        <f t="shared" si="194"/>
        <v>43640</v>
      </c>
      <c r="B789" s="47" t="s">
        <v>96</v>
      </c>
      <c r="C789" s="48">
        <f t="shared" ref="C789:C795" si="215">(V790-V789)*1+(W790-W789)*32+(X790-X789)*12+(Y790-Y789)*6</f>
        <v>2492</v>
      </c>
      <c r="D789" s="99">
        <f t="shared" ref="D789:D852" si="216">(N790-N789)*8+(P790-P789)*8</f>
        <v>1816</v>
      </c>
      <c r="E789" s="45">
        <f t="shared" ref="E789:E852" si="217">(R790-R789)*1+(S790-S789)*120</f>
        <v>1169</v>
      </c>
      <c r="F789" s="45">
        <f t="shared" ref="F789:F795" si="218">(Z790-Z789)*1</f>
        <v>88</v>
      </c>
      <c r="G789" s="79">
        <f t="shared" ref="G789:G795" si="219">C789+D789+F789+E789</f>
        <v>5565</v>
      </c>
      <c r="H789" s="199">
        <v>4690</v>
      </c>
      <c r="I789" s="199">
        <v>1003</v>
      </c>
      <c r="J789" s="200">
        <f t="shared" si="204"/>
        <v>5693</v>
      </c>
      <c r="K789" s="201">
        <f t="shared" si="205"/>
        <v>128</v>
      </c>
      <c r="L789" s="43"/>
      <c r="N789" s="112">
        <v>151017</v>
      </c>
      <c r="O789" s="112">
        <v>84446</v>
      </c>
      <c r="P789" s="112">
        <v>6747</v>
      </c>
      <c r="Q789" s="112"/>
      <c r="R789" s="112">
        <v>30781</v>
      </c>
      <c r="S789" s="113">
        <v>6399.8</v>
      </c>
      <c r="T789" s="113"/>
      <c r="U789" s="113"/>
      <c r="V789" s="112">
        <v>212479</v>
      </c>
      <c r="W789" s="112">
        <v>113150</v>
      </c>
      <c r="X789" s="112">
        <v>87187</v>
      </c>
      <c r="Y789" s="112">
        <v>92778</v>
      </c>
      <c r="Z789" s="112">
        <v>160608</v>
      </c>
    </row>
    <row r="790" spans="1:26" ht="18" hidden="1" customHeight="1" x14ac:dyDescent="0.2">
      <c r="A790" s="47">
        <f t="shared" si="194"/>
        <v>43641</v>
      </c>
      <c r="B790" s="47" t="s">
        <v>97</v>
      </c>
      <c r="C790" s="48">
        <f t="shared" si="215"/>
        <v>2399</v>
      </c>
      <c r="D790" s="99">
        <f t="shared" si="216"/>
        <v>1752</v>
      </c>
      <c r="E790" s="45">
        <f t="shared" si="217"/>
        <v>1096.9999999999563</v>
      </c>
      <c r="F790" s="45">
        <f t="shared" si="218"/>
        <v>69</v>
      </c>
      <c r="G790" s="79">
        <f t="shared" si="219"/>
        <v>5316.9999999999563</v>
      </c>
      <c r="H790" s="199">
        <v>4519</v>
      </c>
      <c r="I790" s="199">
        <v>998</v>
      </c>
      <c r="J790" s="200">
        <f t="shared" si="204"/>
        <v>5517</v>
      </c>
      <c r="K790" s="201">
        <f t="shared" si="205"/>
        <v>200.00000000004366</v>
      </c>
      <c r="L790" s="43"/>
      <c r="N790" s="112">
        <v>151228</v>
      </c>
      <c r="O790" s="112">
        <v>84532</v>
      </c>
      <c r="P790" s="112">
        <v>6763</v>
      </c>
      <c r="Q790" s="112"/>
      <c r="R790" s="112">
        <v>30810</v>
      </c>
      <c r="S790" s="113">
        <v>6409.3</v>
      </c>
      <c r="T790" s="113"/>
      <c r="U790" s="113"/>
      <c r="V790" s="112">
        <v>212651</v>
      </c>
      <c r="W790" s="112">
        <v>113194</v>
      </c>
      <c r="X790" s="112">
        <v>87263</v>
      </c>
      <c r="Y790" s="112">
        <v>92778</v>
      </c>
      <c r="Z790" s="112">
        <v>160696</v>
      </c>
    </row>
    <row r="791" spans="1:26" ht="18" hidden="1" customHeight="1" x14ac:dyDescent="0.2">
      <c r="A791" s="47">
        <f t="shared" si="194"/>
        <v>43642</v>
      </c>
      <c r="B791" s="47" t="s">
        <v>98</v>
      </c>
      <c r="C791" s="48">
        <f t="shared" si="215"/>
        <v>2406</v>
      </c>
      <c r="D791" s="99">
        <f t="shared" si="216"/>
        <v>1688</v>
      </c>
      <c r="E791" s="45">
        <f t="shared" si="217"/>
        <v>989</v>
      </c>
      <c r="F791" s="45">
        <f t="shared" si="218"/>
        <v>79</v>
      </c>
      <c r="G791" s="79">
        <f t="shared" si="219"/>
        <v>5162</v>
      </c>
      <c r="H791" s="199">
        <v>4390</v>
      </c>
      <c r="I791" s="199">
        <v>983</v>
      </c>
      <c r="J791" s="200">
        <f t="shared" si="204"/>
        <v>5373</v>
      </c>
      <c r="K791" s="201">
        <f t="shared" si="205"/>
        <v>211</v>
      </c>
      <c r="L791" s="43"/>
      <c r="N791" s="112">
        <v>151437</v>
      </c>
      <c r="O791" s="112">
        <v>84610</v>
      </c>
      <c r="P791" s="112">
        <v>6773</v>
      </c>
      <c r="Q791" s="112"/>
      <c r="R791" s="112">
        <v>30839</v>
      </c>
      <c r="S791" s="113">
        <v>6418.2</v>
      </c>
      <c r="T791" s="113"/>
      <c r="U791" s="113"/>
      <c r="V791" s="112">
        <v>212834</v>
      </c>
      <c r="W791" s="112">
        <v>113240</v>
      </c>
      <c r="X791" s="112">
        <v>87325</v>
      </c>
      <c r="Y791" s="112">
        <v>92778</v>
      </c>
      <c r="Z791" s="112">
        <v>160765</v>
      </c>
    </row>
    <row r="792" spans="1:26" ht="18" hidden="1" customHeight="1" x14ac:dyDescent="0.2">
      <c r="A792" s="47">
        <f t="shared" si="194"/>
        <v>43643</v>
      </c>
      <c r="B792" s="47" t="s">
        <v>99</v>
      </c>
      <c r="C792" s="48">
        <f t="shared" si="215"/>
        <v>2460</v>
      </c>
      <c r="D792" s="99">
        <f t="shared" si="216"/>
        <v>1704</v>
      </c>
      <c r="E792" s="45">
        <f t="shared" si="217"/>
        <v>941.00000000004366</v>
      </c>
      <c r="F792" s="45">
        <f t="shared" si="218"/>
        <v>83</v>
      </c>
      <c r="G792" s="79">
        <f t="shared" si="219"/>
        <v>5188.0000000000437</v>
      </c>
      <c r="H792" s="199">
        <v>4377</v>
      </c>
      <c r="I792" s="199">
        <v>976</v>
      </c>
      <c r="J792" s="200">
        <f t="shared" si="204"/>
        <v>5353</v>
      </c>
      <c r="K792" s="201">
        <f t="shared" si="205"/>
        <v>164.99999999995634</v>
      </c>
      <c r="L792" s="43"/>
      <c r="N792" s="112">
        <v>151638</v>
      </c>
      <c r="O792" s="112">
        <v>84688</v>
      </c>
      <c r="P792" s="112">
        <v>6783</v>
      </c>
      <c r="Q792" s="112"/>
      <c r="R792" s="112">
        <v>30868</v>
      </c>
      <c r="S792" s="113">
        <v>6426.2</v>
      </c>
      <c r="T792" s="113"/>
      <c r="U792" s="113"/>
      <c r="V792" s="112">
        <v>213028</v>
      </c>
      <c r="W792" s="112">
        <v>113287</v>
      </c>
      <c r="X792" s="112">
        <v>87384</v>
      </c>
      <c r="Y792" s="112">
        <v>92778</v>
      </c>
      <c r="Z792" s="112">
        <v>160844</v>
      </c>
    </row>
    <row r="793" spans="1:26" ht="18" hidden="1" customHeight="1" x14ac:dyDescent="0.2">
      <c r="A793" s="47">
        <f t="shared" si="194"/>
        <v>43644</v>
      </c>
      <c r="B793" s="47" t="s">
        <v>100</v>
      </c>
      <c r="C793" s="48">
        <f t="shared" si="215"/>
        <v>0</v>
      </c>
      <c r="D793" s="99">
        <f t="shared" si="216"/>
        <v>0</v>
      </c>
      <c r="E793" s="45">
        <f t="shared" si="217"/>
        <v>0</v>
      </c>
      <c r="F793" s="45">
        <f t="shared" si="218"/>
        <v>0</v>
      </c>
      <c r="G793" s="79">
        <f t="shared" si="219"/>
        <v>0</v>
      </c>
      <c r="H793" s="199">
        <v>4581</v>
      </c>
      <c r="I793" s="199">
        <v>904</v>
      </c>
      <c r="J793" s="200">
        <f t="shared" si="204"/>
        <v>5485</v>
      </c>
      <c r="K793" s="201">
        <f t="shared" si="205"/>
        <v>5485</v>
      </c>
      <c r="L793" s="43"/>
      <c r="N793" s="112">
        <v>151837</v>
      </c>
      <c r="O793" s="112">
        <v>84764</v>
      </c>
      <c r="P793" s="112">
        <v>6797</v>
      </c>
      <c r="Q793" s="112"/>
      <c r="R793" s="112">
        <v>30897</v>
      </c>
      <c r="S793" s="113">
        <v>6433.8</v>
      </c>
      <c r="T793" s="113"/>
      <c r="U793" s="113"/>
      <c r="V793" s="112">
        <v>213220</v>
      </c>
      <c r="W793" s="112">
        <v>113335</v>
      </c>
      <c r="X793" s="112">
        <v>87445</v>
      </c>
      <c r="Y793" s="112">
        <v>92778</v>
      </c>
      <c r="Z793" s="112">
        <v>160927</v>
      </c>
    </row>
    <row r="794" spans="1:26" ht="18" hidden="1" customHeight="1" x14ac:dyDescent="0.2">
      <c r="A794" s="47">
        <f t="shared" si="194"/>
        <v>43645</v>
      </c>
      <c r="B794" s="56" t="s">
        <v>103</v>
      </c>
      <c r="C794" s="48">
        <f t="shared" si="215"/>
        <v>0</v>
      </c>
      <c r="D794" s="99">
        <f t="shared" si="216"/>
        <v>0</v>
      </c>
      <c r="E794" s="45">
        <f t="shared" si="217"/>
        <v>0</v>
      </c>
      <c r="F794" s="45">
        <f t="shared" si="218"/>
        <v>0</v>
      </c>
      <c r="G794" s="79">
        <f t="shared" si="219"/>
        <v>0</v>
      </c>
      <c r="H794" s="199">
        <v>0</v>
      </c>
      <c r="I794" s="199">
        <v>2300</v>
      </c>
      <c r="J794" s="200">
        <f t="shared" si="204"/>
        <v>2300</v>
      </c>
      <c r="K794" s="201">
        <f t="shared" si="205"/>
        <v>2300</v>
      </c>
      <c r="L794" s="43"/>
      <c r="N794" s="160">
        <v>151837</v>
      </c>
      <c r="O794" s="160">
        <v>84764</v>
      </c>
      <c r="P794" s="160">
        <v>6797</v>
      </c>
      <c r="Q794" s="160"/>
      <c r="R794" s="160">
        <v>30897</v>
      </c>
      <c r="S794" s="161">
        <v>6433.8</v>
      </c>
      <c r="T794" s="161"/>
      <c r="U794" s="161"/>
      <c r="V794" s="160">
        <v>213220</v>
      </c>
      <c r="W794" s="160">
        <v>113335</v>
      </c>
      <c r="X794" s="160">
        <v>87445</v>
      </c>
      <c r="Y794" s="160">
        <v>92778</v>
      </c>
      <c r="Z794" s="160">
        <v>160927</v>
      </c>
    </row>
    <row r="795" spans="1:26" ht="18" hidden="1" customHeight="1" x14ac:dyDescent="0.2">
      <c r="A795" s="47">
        <f t="shared" si="194"/>
        <v>43646</v>
      </c>
      <c r="B795" s="56" t="s">
        <v>104</v>
      </c>
      <c r="C795" s="48">
        <f t="shared" si="215"/>
        <v>3806</v>
      </c>
      <c r="D795" s="99">
        <f t="shared" si="216"/>
        <v>3472</v>
      </c>
      <c r="E795" s="45">
        <f t="shared" si="217"/>
        <v>3065.0000000000218</v>
      </c>
      <c r="F795" s="45">
        <f t="shared" si="218"/>
        <v>329</v>
      </c>
      <c r="G795" s="79">
        <f t="shared" si="219"/>
        <v>10672.000000000022</v>
      </c>
      <c r="H795" s="199">
        <v>0</v>
      </c>
      <c r="I795" s="199">
        <v>2300</v>
      </c>
      <c r="J795" s="200">
        <f t="shared" si="204"/>
        <v>2300</v>
      </c>
      <c r="K795" s="201">
        <f t="shared" si="205"/>
        <v>-8372.0000000000218</v>
      </c>
      <c r="L795" s="43"/>
      <c r="N795" s="160">
        <v>151837</v>
      </c>
      <c r="O795" s="160">
        <v>84764</v>
      </c>
      <c r="P795" s="160">
        <v>6797</v>
      </c>
      <c r="Q795" s="160"/>
      <c r="R795" s="160">
        <v>30897</v>
      </c>
      <c r="S795" s="161">
        <v>6433.8</v>
      </c>
      <c r="T795" s="161"/>
      <c r="U795" s="161"/>
      <c r="V795" s="160">
        <v>213220</v>
      </c>
      <c r="W795" s="160">
        <v>113335</v>
      </c>
      <c r="X795" s="160">
        <v>87445</v>
      </c>
      <c r="Y795" s="160">
        <v>92778</v>
      </c>
      <c r="Z795" s="160">
        <v>160927</v>
      </c>
    </row>
    <row r="796" spans="1:26" ht="18" hidden="1" customHeight="1" x14ac:dyDescent="0.2">
      <c r="A796" s="47">
        <f t="shared" si="194"/>
        <v>43647</v>
      </c>
      <c r="B796" s="47" t="s">
        <v>96</v>
      </c>
      <c r="C796" s="48">
        <f t="shared" ref="C796:C802" si="220">(V797-V796)*1+(W797-W796)*32+(X797-X796)*12+(Y797-Y796)*6</f>
        <v>2721</v>
      </c>
      <c r="D796" s="99">
        <f t="shared" si="216"/>
        <v>1736</v>
      </c>
      <c r="E796" s="45">
        <f t="shared" si="217"/>
        <v>1061.9999999999345</v>
      </c>
      <c r="F796" s="45">
        <f t="shared" ref="F796:F802" si="221">(Z797-Z796)*1</f>
        <v>121</v>
      </c>
      <c r="G796" s="79">
        <f t="shared" ref="G796:G802" si="222">C796+D796+F796+E796</f>
        <v>5639.9999999999345</v>
      </c>
      <c r="H796" s="199">
        <v>4778</v>
      </c>
      <c r="I796" s="199">
        <v>945</v>
      </c>
      <c r="J796" s="200">
        <f t="shared" si="204"/>
        <v>5723</v>
      </c>
      <c r="K796" s="201">
        <f t="shared" si="205"/>
        <v>83.000000000065484</v>
      </c>
      <c r="L796" s="43"/>
      <c r="N796" s="112">
        <v>152247</v>
      </c>
      <c r="O796" s="112">
        <v>84919</v>
      </c>
      <c r="P796" s="112">
        <v>6821</v>
      </c>
      <c r="Q796" s="112"/>
      <c r="R796" s="112">
        <v>30986</v>
      </c>
      <c r="S796" s="113">
        <v>6458.6</v>
      </c>
      <c r="T796" s="113"/>
      <c r="U796" s="113"/>
      <c r="V796" s="112">
        <v>213774</v>
      </c>
      <c r="W796" s="112">
        <v>113410</v>
      </c>
      <c r="X796" s="112">
        <v>87516</v>
      </c>
      <c r="Y796" s="112">
        <v>92778</v>
      </c>
      <c r="Z796" s="112">
        <v>161256</v>
      </c>
    </row>
    <row r="797" spans="1:26" ht="18" hidden="1" customHeight="1" x14ac:dyDescent="0.2">
      <c r="A797" s="47">
        <f t="shared" si="194"/>
        <v>43648</v>
      </c>
      <c r="B797" s="47" t="s">
        <v>97</v>
      </c>
      <c r="C797" s="48">
        <f t="shared" si="220"/>
        <v>2219</v>
      </c>
      <c r="D797" s="99">
        <f t="shared" si="216"/>
        <v>1656</v>
      </c>
      <c r="E797" s="45">
        <f t="shared" si="217"/>
        <v>1073.9999999999782</v>
      </c>
      <c r="F797" s="45">
        <f t="shared" si="221"/>
        <v>111</v>
      </c>
      <c r="G797" s="79">
        <f t="shared" si="222"/>
        <v>5059.9999999999782</v>
      </c>
      <c r="H797" s="199">
        <v>4287</v>
      </c>
      <c r="I797" s="199">
        <v>984</v>
      </c>
      <c r="J797" s="200">
        <f t="shared" si="204"/>
        <v>5271</v>
      </c>
      <c r="K797" s="201">
        <f t="shared" si="205"/>
        <v>211.00000000002183</v>
      </c>
      <c r="L797" s="43"/>
      <c r="N797" s="112">
        <v>152447</v>
      </c>
      <c r="O797" s="112">
        <v>84993</v>
      </c>
      <c r="P797" s="112">
        <v>6838</v>
      </c>
      <c r="Q797" s="112"/>
      <c r="R797" s="112">
        <v>31016</v>
      </c>
      <c r="S797" s="113">
        <v>6467.2</v>
      </c>
      <c r="T797" s="113"/>
      <c r="U797" s="113"/>
      <c r="V797" s="112">
        <v>213975</v>
      </c>
      <c r="W797" s="112">
        <v>113464</v>
      </c>
      <c r="X797" s="112">
        <v>87582</v>
      </c>
      <c r="Y797" s="112">
        <v>92778</v>
      </c>
      <c r="Z797" s="112">
        <v>161377</v>
      </c>
    </row>
    <row r="798" spans="1:26" ht="18" hidden="1" customHeight="1" x14ac:dyDescent="0.2">
      <c r="A798" s="47">
        <f t="shared" si="194"/>
        <v>43649</v>
      </c>
      <c r="B798" s="47" t="s">
        <v>98</v>
      </c>
      <c r="C798" s="48">
        <f t="shared" si="220"/>
        <v>2039</v>
      </c>
      <c r="D798" s="99">
        <f t="shared" si="216"/>
        <v>1656</v>
      </c>
      <c r="E798" s="45">
        <f t="shared" si="217"/>
        <v>921</v>
      </c>
      <c r="F798" s="45">
        <f t="shared" si="221"/>
        <v>93</v>
      </c>
      <c r="G798" s="79">
        <f t="shared" si="222"/>
        <v>4709</v>
      </c>
      <c r="H798" s="199">
        <v>3907</v>
      </c>
      <c r="I798" s="199">
        <v>974</v>
      </c>
      <c r="J798" s="200">
        <f t="shared" si="204"/>
        <v>4881</v>
      </c>
      <c r="K798" s="201">
        <f t="shared" si="205"/>
        <v>172</v>
      </c>
      <c r="L798" s="43"/>
      <c r="N798" s="112">
        <v>152647</v>
      </c>
      <c r="O798" s="112">
        <v>85070</v>
      </c>
      <c r="P798" s="112">
        <v>6845</v>
      </c>
      <c r="Q798" s="112"/>
      <c r="R798" s="112">
        <v>31046</v>
      </c>
      <c r="S798" s="113">
        <v>6475.9</v>
      </c>
      <c r="T798" s="113"/>
      <c r="U798" s="113"/>
      <c r="V798" s="112">
        <v>214170</v>
      </c>
      <c r="W798" s="112">
        <v>113507</v>
      </c>
      <c r="X798" s="112">
        <v>87636</v>
      </c>
      <c r="Y798" s="112">
        <v>92778</v>
      </c>
      <c r="Z798" s="112">
        <v>161488</v>
      </c>
    </row>
    <row r="799" spans="1:26" ht="18" hidden="1" customHeight="1" x14ac:dyDescent="0.2">
      <c r="A799" s="47">
        <f t="shared" si="194"/>
        <v>43650</v>
      </c>
      <c r="B799" s="47" t="s">
        <v>99</v>
      </c>
      <c r="C799" s="48">
        <f t="shared" si="220"/>
        <v>2390</v>
      </c>
      <c r="D799" s="99">
        <f t="shared" si="216"/>
        <v>1728</v>
      </c>
      <c r="E799" s="45">
        <f t="shared" si="217"/>
        <v>997</v>
      </c>
      <c r="F799" s="45">
        <f t="shared" si="221"/>
        <v>123</v>
      </c>
      <c r="G799" s="79">
        <f t="shared" si="222"/>
        <v>5238</v>
      </c>
      <c r="H799" s="199">
        <v>4313</v>
      </c>
      <c r="I799" s="199">
        <v>961</v>
      </c>
      <c r="J799" s="200">
        <f t="shared" si="204"/>
        <v>5274</v>
      </c>
      <c r="K799" s="201">
        <f t="shared" si="205"/>
        <v>36</v>
      </c>
      <c r="L799" s="43"/>
      <c r="N799" s="112">
        <v>152837</v>
      </c>
      <c r="O799" s="112">
        <v>85143</v>
      </c>
      <c r="P799" s="112">
        <v>6862</v>
      </c>
      <c r="Q799" s="112"/>
      <c r="R799" s="112">
        <v>31067</v>
      </c>
      <c r="S799" s="113">
        <v>6483.4</v>
      </c>
      <c r="T799" s="113"/>
      <c r="U799" s="113"/>
      <c r="V799" s="112">
        <v>214365</v>
      </c>
      <c r="W799" s="112">
        <v>113547</v>
      </c>
      <c r="X799" s="112">
        <v>87683</v>
      </c>
      <c r="Y799" s="112">
        <v>92778</v>
      </c>
      <c r="Z799" s="112">
        <v>161581</v>
      </c>
    </row>
    <row r="800" spans="1:26" ht="18" hidden="1" customHeight="1" x14ac:dyDescent="0.2">
      <c r="A800" s="47">
        <f t="shared" si="194"/>
        <v>43651</v>
      </c>
      <c r="B800" s="47" t="s">
        <v>100</v>
      </c>
      <c r="C800" s="48">
        <f t="shared" si="220"/>
        <v>0</v>
      </c>
      <c r="D800" s="99">
        <f t="shared" si="216"/>
        <v>0</v>
      </c>
      <c r="E800" s="45">
        <f t="shared" si="217"/>
        <v>0</v>
      </c>
      <c r="F800" s="45">
        <f t="shared" si="221"/>
        <v>0</v>
      </c>
      <c r="G800" s="79">
        <f t="shared" si="222"/>
        <v>0</v>
      </c>
      <c r="H800" s="199">
        <v>4087</v>
      </c>
      <c r="I800" s="199">
        <v>939</v>
      </c>
      <c r="J800" s="200">
        <f t="shared" si="204"/>
        <v>5026</v>
      </c>
      <c r="K800" s="201">
        <f t="shared" si="205"/>
        <v>5026</v>
      </c>
      <c r="L800" s="43"/>
      <c r="N800" s="112">
        <v>153037</v>
      </c>
      <c r="O800" s="112">
        <v>85215</v>
      </c>
      <c r="P800" s="112">
        <v>6878</v>
      </c>
      <c r="Q800" s="112"/>
      <c r="R800" s="112">
        <v>31104</v>
      </c>
      <c r="S800" s="113">
        <v>6491.4</v>
      </c>
      <c r="T800" s="113"/>
      <c r="U800" s="113"/>
      <c r="V800" s="112">
        <v>214563</v>
      </c>
      <c r="W800" s="112">
        <v>113593</v>
      </c>
      <c r="X800" s="112">
        <v>87743</v>
      </c>
      <c r="Y800" s="112">
        <v>92778</v>
      </c>
      <c r="Z800" s="112">
        <v>161704</v>
      </c>
    </row>
    <row r="801" spans="1:26" ht="18" hidden="1" customHeight="1" x14ac:dyDescent="0.2">
      <c r="A801" s="47">
        <f t="shared" si="194"/>
        <v>43652</v>
      </c>
      <c r="B801" s="56" t="s">
        <v>103</v>
      </c>
      <c r="C801" s="48">
        <f t="shared" si="220"/>
        <v>0</v>
      </c>
      <c r="D801" s="99">
        <f t="shared" si="216"/>
        <v>0</v>
      </c>
      <c r="E801" s="45">
        <f t="shared" si="217"/>
        <v>0</v>
      </c>
      <c r="F801" s="45">
        <f t="shared" si="221"/>
        <v>0</v>
      </c>
      <c r="G801" s="79">
        <f t="shared" si="222"/>
        <v>0</v>
      </c>
      <c r="H801" s="199">
        <v>0</v>
      </c>
      <c r="I801" s="199">
        <v>2774</v>
      </c>
      <c r="J801" s="200">
        <f t="shared" si="204"/>
        <v>2774</v>
      </c>
      <c r="K801" s="201">
        <f t="shared" si="205"/>
        <v>2774</v>
      </c>
      <c r="L801" s="43"/>
      <c r="N801" s="153">
        <v>153037</v>
      </c>
      <c r="O801" s="153">
        <v>85215</v>
      </c>
      <c r="P801" s="153">
        <v>6878</v>
      </c>
      <c r="Q801" s="153"/>
      <c r="R801" s="153">
        <v>31104</v>
      </c>
      <c r="S801" s="154">
        <v>6491.4</v>
      </c>
      <c r="T801" s="154"/>
      <c r="U801" s="154"/>
      <c r="V801" s="153">
        <v>214563</v>
      </c>
      <c r="W801" s="153">
        <v>113593</v>
      </c>
      <c r="X801" s="153">
        <v>87743</v>
      </c>
      <c r="Y801" s="153">
        <v>92778</v>
      </c>
      <c r="Z801" s="153">
        <v>161704</v>
      </c>
    </row>
    <row r="802" spans="1:26" ht="18" hidden="1" customHeight="1" x14ac:dyDescent="0.2">
      <c r="A802" s="47">
        <f t="shared" si="194"/>
        <v>43653</v>
      </c>
      <c r="B802" s="56" t="s">
        <v>104</v>
      </c>
      <c r="C802" s="48">
        <f t="shared" si="220"/>
        <v>3347</v>
      </c>
      <c r="D802" s="99">
        <f t="shared" si="216"/>
        <v>3384</v>
      </c>
      <c r="E802" s="45">
        <f t="shared" si="217"/>
        <v>3304.0000000000218</v>
      </c>
      <c r="F802" s="45">
        <f t="shared" si="221"/>
        <v>336</v>
      </c>
      <c r="G802" s="79">
        <f t="shared" si="222"/>
        <v>10371.000000000022</v>
      </c>
      <c r="H802" s="199">
        <v>0</v>
      </c>
      <c r="I802" s="199">
        <v>3054</v>
      </c>
      <c r="J802" s="200">
        <f t="shared" si="204"/>
        <v>3054</v>
      </c>
      <c r="K802" s="201">
        <f t="shared" si="205"/>
        <v>-7317.0000000000218</v>
      </c>
      <c r="L802" s="43"/>
      <c r="N802" s="153">
        <v>153037</v>
      </c>
      <c r="O802" s="153">
        <v>85215</v>
      </c>
      <c r="P802" s="153">
        <v>6878</v>
      </c>
      <c r="Q802" s="153"/>
      <c r="R802" s="153">
        <v>31104</v>
      </c>
      <c r="S802" s="154">
        <v>6491.4</v>
      </c>
      <c r="T802" s="154"/>
      <c r="U802" s="154"/>
      <c r="V802" s="153">
        <v>214563</v>
      </c>
      <c r="W802" s="153">
        <v>113593</v>
      </c>
      <c r="X802" s="153">
        <v>87743</v>
      </c>
      <c r="Y802" s="153">
        <v>92778</v>
      </c>
      <c r="Z802" s="153">
        <v>161704</v>
      </c>
    </row>
    <row r="803" spans="1:26" ht="18" hidden="1" customHeight="1" x14ac:dyDescent="0.2">
      <c r="A803" s="47">
        <f t="shared" si="194"/>
        <v>43654</v>
      </c>
      <c r="B803" s="47" t="s">
        <v>96</v>
      </c>
      <c r="C803" s="48">
        <f>(V804-V803)*1+(W804-W803)*32+(X804-X803)*12+(Y804-Y803)*6</f>
        <v>2619</v>
      </c>
      <c r="D803" s="99">
        <f t="shared" si="216"/>
        <v>1480</v>
      </c>
      <c r="E803" s="45">
        <f t="shared" si="217"/>
        <v>1218.0000000000655</v>
      </c>
      <c r="F803" s="45">
        <f>(Z804-Z803)*1</f>
        <v>117</v>
      </c>
      <c r="G803" s="79">
        <f>C803+D803+F803+E803</f>
        <v>5434.0000000000655</v>
      </c>
      <c r="H803" s="199">
        <v>4531</v>
      </c>
      <c r="I803" s="199">
        <v>942</v>
      </c>
      <c r="J803" s="200">
        <f t="shared" si="204"/>
        <v>5473</v>
      </c>
      <c r="K803" s="201">
        <f t="shared" si="205"/>
        <v>38.999999999934516</v>
      </c>
      <c r="L803" s="43"/>
      <c r="N803" s="112">
        <v>153437</v>
      </c>
      <c r="O803" s="112">
        <v>85369</v>
      </c>
      <c r="P803" s="112">
        <v>6901</v>
      </c>
      <c r="Q803" s="112"/>
      <c r="R803" s="112">
        <v>31192</v>
      </c>
      <c r="S803" s="113">
        <v>6518.2</v>
      </c>
      <c r="T803" s="113"/>
      <c r="U803" s="113"/>
      <c r="V803" s="112">
        <v>215002</v>
      </c>
      <c r="W803" s="112">
        <v>113661</v>
      </c>
      <c r="X803" s="112">
        <v>87804</v>
      </c>
      <c r="Y803" s="112">
        <v>92778</v>
      </c>
      <c r="Z803" s="112">
        <v>162040</v>
      </c>
    </row>
    <row r="804" spans="1:26" ht="18" hidden="1" customHeight="1" x14ac:dyDescent="0.2">
      <c r="A804" s="47">
        <f t="shared" si="194"/>
        <v>43655</v>
      </c>
      <c r="B804" s="47" t="s">
        <v>97</v>
      </c>
      <c r="C804" s="48">
        <f>(V805-V804)*1+(W805-W804)*32+(X805-X804)*12+(Y805-Y804)*6</f>
        <v>2210</v>
      </c>
      <c r="D804" s="99">
        <f t="shared" si="216"/>
        <v>1528</v>
      </c>
      <c r="E804" s="45">
        <f t="shared" si="217"/>
        <v>1109</v>
      </c>
      <c r="F804" s="45">
        <f>(Z805-Z804)*1</f>
        <v>115</v>
      </c>
      <c r="G804" s="79">
        <f>C804+D804+F804+E804</f>
        <v>4962</v>
      </c>
      <c r="H804" s="199">
        <v>4140</v>
      </c>
      <c r="I804" s="199">
        <v>1065</v>
      </c>
      <c r="J804" s="200">
        <f t="shared" ref="J804:J826" si="223">H804+I804</f>
        <v>5205</v>
      </c>
      <c r="K804" s="201">
        <f t="shared" ref="K804:K857" si="224">J804-G804</f>
        <v>243</v>
      </c>
      <c r="L804" s="43"/>
      <c r="N804" s="112">
        <v>153607</v>
      </c>
      <c r="O804" s="112">
        <v>85433</v>
      </c>
      <c r="P804" s="112">
        <v>6916</v>
      </c>
      <c r="Q804" s="112"/>
      <c r="R804" s="112">
        <v>31222</v>
      </c>
      <c r="S804" s="113">
        <v>6528.1</v>
      </c>
      <c r="T804" s="113"/>
      <c r="U804" s="113"/>
      <c r="V804" s="112">
        <v>215249</v>
      </c>
      <c r="W804" s="112">
        <v>113713</v>
      </c>
      <c r="X804" s="112">
        <v>87863</v>
      </c>
      <c r="Y804" s="112">
        <v>92778</v>
      </c>
      <c r="Z804" s="112">
        <v>162157</v>
      </c>
    </row>
    <row r="805" spans="1:26" ht="18" hidden="1" customHeight="1" x14ac:dyDescent="0.2">
      <c r="A805" s="47">
        <f t="shared" si="194"/>
        <v>43656</v>
      </c>
      <c r="B805" s="47" t="s">
        <v>98</v>
      </c>
      <c r="C805" s="48">
        <f>(V806-V805)*1+(W806-W805)*32+(X806-X805)*12+(Y806-Y805)*6</f>
        <v>2371</v>
      </c>
      <c r="D805" s="99">
        <f t="shared" si="216"/>
        <v>1360</v>
      </c>
      <c r="E805" s="45">
        <f t="shared" si="217"/>
        <v>1216.9999999999563</v>
      </c>
      <c r="F805" s="45">
        <f>(Z806-Z805)*1</f>
        <v>106</v>
      </c>
      <c r="G805" s="79">
        <f>C805+D805+F805+E805</f>
        <v>5053.9999999999563</v>
      </c>
      <c r="H805" s="199">
        <v>4264</v>
      </c>
      <c r="I805" s="199">
        <v>934</v>
      </c>
      <c r="J805" s="200">
        <f t="shared" si="223"/>
        <v>5198</v>
      </c>
      <c r="K805" s="201">
        <f t="shared" si="224"/>
        <v>144.00000000004366</v>
      </c>
      <c r="L805" s="43"/>
      <c r="N805" s="112">
        <v>153787</v>
      </c>
      <c r="O805" s="112">
        <v>85500</v>
      </c>
      <c r="P805" s="112">
        <v>6927</v>
      </c>
      <c r="Q805" s="112"/>
      <c r="R805" s="112">
        <v>31251</v>
      </c>
      <c r="S805" s="113">
        <v>6537.1</v>
      </c>
      <c r="T805" s="113"/>
      <c r="U805" s="113"/>
      <c r="V805" s="112">
        <v>215483</v>
      </c>
      <c r="W805" s="112">
        <v>113756</v>
      </c>
      <c r="X805" s="112">
        <v>87913</v>
      </c>
      <c r="Y805" s="112">
        <v>92778</v>
      </c>
      <c r="Z805" s="112">
        <v>162272</v>
      </c>
    </row>
    <row r="806" spans="1:26" ht="18" hidden="1" customHeight="1" x14ac:dyDescent="0.2">
      <c r="A806" s="47">
        <f t="shared" si="194"/>
        <v>43657</v>
      </c>
      <c r="B806" s="47" t="s">
        <v>99</v>
      </c>
      <c r="C806" s="48">
        <f>(V807-V806)*1+(W807-W806)*32+(X807-X806)*12+(Y807-Y806)*6</f>
        <v>2149</v>
      </c>
      <c r="D806" s="99">
        <f t="shared" si="216"/>
        <v>1472</v>
      </c>
      <c r="E806" s="45">
        <f t="shared" si="217"/>
        <v>1011.9999999999782</v>
      </c>
      <c r="F806" s="45">
        <f>(Z807-Z806)*1</f>
        <v>116</v>
      </c>
      <c r="G806" s="79">
        <f>C806+D806+F806+E806</f>
        <v>4748.9999999999782</v>
      </c>
      <c r="H806" s="199">
        <v>4044</v>
      </c>
      <c r="I806" s="199">
        <v>902</v>
      </c>
      <c r="J806" s="200">
        <f t="shared" si="223"/>
        <v>4946</v>
      </c>
      <c r="K806" s="201">
        <f t="shared" si="224"/>
        <v>197.00000000002183</v>
      </c>
      <c r="L806" s="43"/>
      <c r="N806" s="112">
        <v>153947</v>
      </c>
      <c r="O806" s="112">
        <v>85564</v>
      </c>
      <c r="P806" s="112">
        <v>6937</v>
      </c>
      <c r="Q806" s="112"/>
      <c r="R806" s="112">
        <v>31280</v>
      </c>
      <c r="S806" s="113">
        <v>6547</v>
      </c>
      <c r="T806" s="113"/>
      <c r="U806" s="113"/>
      <c r="V806" s="112">
        <v>215722</v>
      </c>
      <c r="W806" s="112">
        <v>113799</v>
      </c>
      <c r="X806" s="112">
        <v>87976</v>
      </c>
      <c r="Y806" s="112">
        <v>92778</v>
      </c>
      <c r="Z806" s="112">
        <v>162378</v>
      </c>
    </row>
    <row r="807" spans="1:26" ht="18" hidden="1" customHeight="1" x14ac:dyDescent="0.2">
      <c r="A807" s="47">
        <f t="shared" si="194"/>
        <v>43658</v>
      </c>
      <c r="B807" s="47" t="s">
        <v>100</v>
      </c>
      <c r="C807" s="48">
        <f t="shared" ref="C807:C809" si="225">(V808-V807)*1+(W808-W807)*32+(X808-X807)*12+(Y808-Y807)*6</f>
        <v>0</v>
      </c>
      <c r="D807" s="99">
        <f t="shared" si="216"/>
        <v>0</v>
      </c>
      <c r="E807" s="45">
        <f t="shared" si="217"/>
        <v>0</v>
      </c>
      <c r="F807" s="45">
        <f t="shared" ref="F807:F809" si="226">(Z808-Z807)*1</f>
        <v>0</v>
      </c>
      <c r="G807" s="79">
        <f t="shared" ref="G807:G809" si="227">C807+D807+F807+E807</f>
        <v>0</v>
      </c>
      <c r="H807" s="199">
        <v>4057</v>
      </c>
      <c r="I807" s="199">
        <v>890</v>
      </c>
      <c r="J807" s="200">
        <f t="shared" si="223"/>
        <v>4947</v>
      </c>
      <c r="K807" s="201">
        <f t="shared" si="224"/>
        <v>4947</v>
      </c>
      <c r="L807" s="43"/>
      <c r="N807" s="112">
        <v>154117</v>
      </c>
      <c r="O807" s="112">
        <v>85629</v>
      </c>
      <c r="P807" s="112">
        <v>6951</v>
      </c>
      <c r="Q807" s="112"/>
      <c r="R807" s="112">
        <v>31308</v>
      </c>
      <c r="S807" s="113">
        <v>6555.2</v>
      </c>
      <c r="T807" s="113"/>
      <c r="U807" s="113"/>
      <c r="V807" s="112">
        <v>215975</v>
      </c>
      <c r="W807" s="112">
        <v>113841</v>
      </c>
      <c r="X807" s="112">
        <v>88022</v>
      </c>
      <c r="Y807" s="112">
        <v>92778</v>
      </c>
      <c r="Z807" s="112">
        <v>162494</v>
      </c>
    </row>
    <row r="808" spans="1:26" ht="18" hidden="1" customHeight="1" x14ac:dyDescent="0.2">
      <c r="A808" s="47">
        <f t="shared" ref="A808:A871" si="228">A807+1</f>
        <v>43659</v>
      </c>
      <c r="B808" s="56" t="s">
        <v>103</v>
      </c>
      <c r="C808" s="48">
        <f t="shared" si="225"/>
        <v>0</v>
      </c>
      <c r="D808" s="99">
        <f t="shared" si="216"/>
        <v>0</v>
      </c>
      <c r="E808" s="45">
        <f t="shared" si="217"/>
        <v>0</v>
      </c>
      <c r="F808" s="45">
        <f t="shared" si="226"/>
        <v>0</v>
      </c>
      <c r="G808" s="79">
        <f t="shared" si="227"/>
        <v>0</v>
      </c>
      <c r="H808" s="199">
        <v>0</v>
      </c>
      <c r="I808" s="199">
        <v>3032</v>
      </c>
      <c r="J808" s="200">
        <f t="shared" si="223"/>
        <v>3032</v>
      </c>
      <c r="K808" s="201">
        <f t="shared" si="224"/>
        <v>3032</v>
      </c>
      <c r="L808" s="43"/>
      <c r="N808" s="153">
        <v>154117</v>
      </c>
      <c r="O808" s="153">
        <v>85629</v>
      </c>
      <c r="P808" s="153">
        <v>6951</v>
      </c>
      <c r="Q808" s="153"/>
      <c r="R808" s="153">
        <v>31308</v>
      </c>
      <c r="S808" s="154">
        <v>6555.2</v>
      </c>
      <c r="T808" s="154"/>
      <c r="U808" s="154"/>
      <c r="V808" s="153">
        <v>215975</v>
      </c>
      <c r="W808" s="153">
        <v>113841</v>
      </c>
      <c r="X808" s="153">
        <v>88022</v>
      </c>
      <c r="Y808" s="153">
        <v>92778</v>
      </c>
      <c r="Z808" s="153">
        <v>162494</v>
      </c>
    </row>
    <row r="809" spans="1:26" ht="18" hidden="1" customHeight="1" x14ac:dyDescent="0.2">
      <c r="A809" s="47">
        <f t="shared" si="228"/>
        <v>43660</v>
      </c>
      <c r="B809" s="56" t="s">
        <v>104</v>
      </c>
      <c r="C809" s="48">
        <f t="shared" si="225"/>
        <v>3158</v>
      </c>
      <c r="D809" s="99">
        <f t="shared" si="216"/>
        <v>2320</v>
      </c>
      <c r="E809" s="45">
        <f t="shared" si="217"/>
        <v>3446</v>
      </c>
      <c r="F809" s="45">
        <f t="shared" si="226"/>
        <v>330</v>
      </c>
      <c r="G809" s="79">
        <f t="shared" si="227"/>
        <v>9254</v>
      </c>
      <c r="H809" s="199">
        <v>0</v>
      </c>
      <c r="I809" s="199">
        <v>2102</v>
      </c>
      <c r="J809" s="200">
        <f t="shared" si="223"/>
        <v>2102</v>
      </c>
      <c r="K809" s="201">
        <f t="shared" si="224"/>
        <v>-7152</v>
      </c>
      <c r="L809" s="43"/>
      <c r="N809" s="153">
        <v>154117</v>
      </c>
      <c r="O809" s="153">
        <v>85629</v>
      </c>
      <c r="P809" s="153">
        <v>6951</v>
      </c>
      <c r="Q809" s="153"/>
      <c r="R809" s="153">
        <v>31308</v>
      </c>
      <c r="S809" s="154">
        <v>6555.2</v>
      </c>
      <c r="T809" s="154"/>
      <c r="U809" s="154"/>
      <c r="V809" s="153">
        <v>215975</v>
      </c>
      <c r="W809" s="153">
        <v>113841</v>
      </c>
      <c r="X809" s="153">
        <v>88022</v>
      </c>
      <c r="Y809" s="153">
        <v>92778</v>
      </c>
      <c r="Z809" s="153">
        <v>162494</v>
      </c>
    </row>
    <row r="810" spans="1:26" ht="18" hidden="1" customHeight="1" x14ac:dyDescent="0.2">
      <c r="A810" s="47">
        <f t="shared" si="228"/>
        <v>43661</v>
      </c>
      <c r="B810" s="47" t="s">
        <v>96</v>
      </c>
      <c r="C810" s="48">
        <f t="shared" ref="C810" si="229">(V811-V810)*1+(W811-W810)*32+(X811-X810)*12+(Y811-Y810)*6</f>
        <v>2259</v>
      </c>
      <c r="D810" s="99">
        <f t="shared" si="216"/>
        <v>1712</v>
      </c>
      <c r="E810" s="45">
        <f t="shared" si="217"/>
        <v>1338.0000000000655</v>
      </c>
      <c r="F810" s="45">
        <f t="shared" ref="F810" si="230">(Z811-Z810)*1</f>
        <v>111</v>
      </c>
      <c r="G810" s="79">
        <f t="shared" ref="G810" si="231">C810+D810+F810+E810</f>
        <v>5420.0000000000655</v>
      </c>
      <c r="H810" s="199">
        <v>3497</v>
      </c>
      <c r="I810" s="199">
        <v>406</v>
      </c>
      <c r="J810" s="200">
        <f t="shared" si="223"/>
        <v>3903</v>
      </c>
      <c r="K810" s="201">
        <f t="shared" si="224"/>
        <v>-1517.0000000000655</v>
      </c>
      <c r="L810" s="43"/>
      <c r="N810" s="112">
        <v>154387</v>
      </c>
      <c r="O810" s="112">
        <v>85716</v>
      </c>
      <c r="P810" s="112">
        <v>6971</v>
      </c>
      <c r="Q810" s="112"/>
      <c r="R810" s="112">
        <v>31394</v>
      </c>
      <c r="S810" s="113">
        <v>6583.2</v>
      </c>
      <c r="T810" s="113"/>
      <c r="U810" s="113"/>
      <c r="V810" s="112">
        <v>216505</v>
      </c>
      <c r="W810" s="112">
        <v>113904</v>
      </c>
      <c r="X810" s="112">
        <v>88073</v>
      </c>
      <c r="Y810" s="112">
        <v>92778</v>
      </c>
      <c r="Z810" s="112">
        <v>162824</v>
      </c>
    </row>
    <row r="811" spans="1:26" ht="18" hidden="1" customHeight="1" x14ac:dyDescent="0.2">
      <c r="A811" s="47">
        <f t="shared" si="228"/>
        <v>43662</v>
      </c>
      <c r="B811" s="47" t="s">
        <v>97</v>
      </c>
      <c r="C811" s="48">
        <f t="shared" ref="C811" si="232">(V812-V811)*1+(W812-W811)*32+(X812-X811)*12+(Y812-Y811)*6</f>
        <v>2596</v>
      </c>
      <c r="D811" s="99">
        <f t="shared" si="216"/>
        <v>1280</v>
      </c>
      <c r="E811" s="45">
        <f t="shared" si="217"/>
        <v>1143.9999999999127</v>
      </c>
      <c r="F811" s="45">
        <f t="shared" ref="F811" si="233">(Z812-Z811)*1</f>
        <v>111</v>
      </c>
      <c r="G811" s="79">
        <f t="shared" ref="G811" si="234">C811+D811+F811+E811</f>
        <v>5130.9999999999127</v>
      </c>
      <c r="H811" s="199">
        <v>4372</v>
      </c>
      <c r="I811" s="199">
        <v>499</v>
      </c>
      <c r="J811" s="200">
        <f t="shared" si="223"/>
        <v>4871</v>
      </c>
      <c r="K811" s="201">
        <f t="shared" si="224"/>
        <v>-259.99999999991269</v>
      </c>
      <c r="L811" s="43"/>
      <c r="N811" s="112">
        <v>154597</v>
      </c>
      <c r="O811" s="112">
        <v>85719</v>
      </c>
      <c r="P811" s="112">
        <v>6975</v>
      </c>
      <c r="Q811" s="112"/>
      <c r="R811" s="112">
        <v>31424</v>
      </c>
      <c r="S811" s="113">
        <v>6594.1</v>
      </c>
      <c r="T811" s="113"/>
      <c r="U811" s="113"/>
      <c r="V811" s="112">
        <v>216740</v>
      </c>
      <c r="W811" s="112">
        <v>113947</v>
      </c>
      <c r="X811" s="112">
        <v>88127</v>
      </c>
      <c r="Y811" s="112">
        <v>92778</v>
      </c>
      <c r="Z811" s="112">
        <v>162935</v>
      </c>
    </row>
    <row r="812" spans="1:26" ht="18" hidden="1" customHeight="1" x14ac:dyDescent="0.2">
      <c r="A812" s="47">
        <f t="shared" si="228"/>
        <v>43663</v>
      </c>
      <c r="B812" s="47" t="s">
        <v>98</v>
      </c>
      <c r="C812" s="48">
        <f t="shared" ref="C812" si="235">(V813-V812)*1+(W813-W812)*32+(X813-X812)*12+(Y813-Y812)*6</f>
        <v>2481</v>
      </c>
      <c r="D812" s="99">
        <f t="shared" si="216"/>
        <v>656</v>
      </c>
      <c r="E812" s="45">
        <f t="shared" si="217"/>
        <v>1013.0000000000873</v>
      </c>
      <c r="F812" s="45">
        <f t="shared" ref="F812" si="236">(Z813-Z812)*1</f>
        <v>99</v>
      </c>
      <c r="G812" s="79">
        <f t="shared" ref="G812" si="237">C812+D812+F812+E812</f>
        <v>4249.0000000000873</v>
      </c>
      <c r="H812" s="199">
        <v>4082</v>
      </c>
      <c r="I812" s="199">
        <v>848</v>
      </c>
      <c r="J812" s="200">
        <f t="shared" si="223"/>
        <v>4930</v>
      </c>
      <c r="K812" s="201">
        <f t="shared" si="224"/>
        <v>680.99999999991269</v>
      </c>
      <c r="L812" s="43"/>
      <c r="N812" s="112">
        <v>154747</v>
      </c>
      <c r="O812" s="112">
        <v>85779</v>
      </c>
      <c r="P812" s="112">
        <v>6985</v>
      </c>
      <c r="Q812" s="112"/>
      <c r="R812" s="112">
        <v>31452</v>
      </c>
      <c r="S812" s="113">
        <v>6603.4</v>
      </c>
      <c r="T812" s="113"/>
      <c r="U812" s="113"/>
      <c r="V812" s="112">
        <v>216996</v>
      </c>
      <c r="W812" s="112">
        <v>113998</v>
      </c>
      <c r="X812" s="112">
        <v>88186</v>
      </c>
      <c r="Y812" s="112">
        <v>92778</v>
      </c>
      <c r="Z812" s="112">
        <v>163046</v>
      </c>
    </row>
    <row r="813" spans="1:26" ht="18" hidden="1" customHeight="1" x14ac:dyDescent="0.2">
      <c r="A813" s="47">
        <f t="shared" si="228"/>
        <v>43664</v>
      </c>
      <c r="B813" s="47" t="s">
        <v>99</v>
      </c>
      <c r="C813" s="48">
        <f t="shared" ref="C813" si="238">(V814-V813)*1+(W814-W813)*32+(X814-X813)*12+(Y814-Y813)*6</f>
        <v>2040</v>
      </c>
      <c r="D813" s="99">
        <f t="shared" si="216"/>
        <v>472</v>
      </c>
      <c r="E813" s="45">
        <f t="shared" si="217"/>
        <v>1022.9999999999127</v>
      </c>
      <c r="F813" s="45">
        <f t="shared" ref="F813" si="239">(Z814-Z813)*1</f>
        <v>88</v>
      </c>
      <c r="G813" s="79">
        <f t="shared" ref="G813" si="240">C813+D813+F813+E813</f>
        <v>3622.9999999999127</v>
      </c>
      <c r="H813" s="199">
        <v>4034</v>
      </c>
      <c r="I813" s="199">
        <v>875</v>
      </c>
      <c r="J813" s="200">
        <f t="shared" si="223"/>
        <v>4909</v>
      </c>
      <c r="K813" s="201">
        <f t="shared" si="224"/>
        <v>1286.0000000000873</v>
      </c>
      <c r="L813" s="43"/>
      <c r="N813" s="112">
        <v>154817</v>
      </c>
      <c r="O813" s="112">
        <v>85839</v>
      </c>
      <c r="P813" s="112">
        <v>6997</v>
      </c>
      <c r="Q813" s="112"/>
      <c r="R813" s="112">
        <v>31481</v>
      </c>
      <c r="S813" s="113">
        <v>6611.6</v>
      </c>
      <c r="T813" s="113"/>
      <c r="U813" s="113"/>
      <c r="V813" s="112">
        <v>217233</v>
      </c>
      <c r="W813" s="112">
        <v>114046</v>
      </c>
      <c r="X813" s="112">
        <v>88245</v>
      </c>
      <c r="Y813" s="112">
        <v>92778</v>
      </c>
      <c r="Z813" s="112">
        <v>163145</v>
      </c>
    </row>
    <row r="814" spans="1:26" ht="18" hidden="1" customHeight="1" x14ac:dyDescent="0.2">
      <c r="A814" s="47">
        <f t="shared" si="228"/>
        <v>43665</v>
      </c>
      <c r="B814" s="47" t="s">
        <v>100</v>
      </c>
      <c r="C814" s="48">
        <f t="shared" ref="C814:C816" si="241">(V815-V814)*1+(W815-W814)*32+(X815-X814)*12+(Y815-Y814)*6</f>
        <v>0</v>
      </c>
      <c r="D814" s="99">
        <f t="shared" si="216"/>
        <v>0</v>
      </c>
      <c r="E814" s="45">
        <f t="shared" si="217"/>
        <v>0</v>
      </c>
      <c r="F814" s="45">
        <f t="shared" ref="F814:F816" si="242">(Z815-Z814)*1</f>
        <v>0</v>
      </c>
      <c r="G814" s="79">
        <f t="shared" ref="G814:G816" si="243">C814+D814+F814+E814</f>
        <v>0</v>
      </c>
      <c r="H814" s="199">
        <v>4377</v>
      </c>
      <c r="I814" s="199">
        <v>810</v>
      </c>
      <c r="J814" s="200">
        <f t="shared" si="223"/>
        <v>5187</v>
      </c>
      <c r="K814" s="201">
        <f t="shared" si="224"/>
        <v>5187</v>
      </c>
      <c r="L814" s="43"/>
      <c r="N814" s="112">
        <v>154867</v>
      </c>
      <c r="O814" s="112">
        <v>85898</v>
      </c>
      <c r="P814" s="112">
        <v>7006</v>
      </c>
      <c r="Q814" s="112"/>
      <c r="R814" s="112">
        <v>31508</v>
      </c>
      <c r="S814" s="113">
        <v>6619.9</v>
      </c>
      <c r="T814" s="113"/>
      <c r="U814" s="113"/>
      <c r="V814" s="112">
        <v>217457</v>
      </c>
      <c r="W814" s="112">
        <v>114081</v>
      </c>
      <c r="X814" s="112">
        <v>88303</v>
      </c>
      <c r="Y814" s="112">
        <v>92778</v>
      </c>
      <c r="Z814" s="112">
        <v>163233</v>
      </c>
    </row>
    <row r="815" spans="1:26" ht="18" hidden="1" customHeight="1" x14ac:dyDescent="0.2">
      <c r="A815" s="47">
        <f t="shared" si="228"/>
        <v>43666</v>
      </c>
      <c r="B815" s="56" t="s">
        <v>103</v>
      </c>
      <c r="C815" s="48">
        <f t="shared" si="241"/>
        <v>0</v>
      </c>
      <c r="D815" s="99">
        <f t="shared" si="216"/>
        <v>0</v>
      </c>
      <c r="E815" s="45">
        <f t="shared" si="217"/>
        <v>0</v>
      </c>
      <c r="F815" s="45">
        <f t="shared" si="242"/>
        <v>0</v>
      </c>
      <c r="G815" s="79">
        <f t="shared" si="243"/>
        <v>0</v>
      </c>
      <c r="H815" s="199">
        <v>0</v>
      </c>
      <c r="I815" s="199">
        <v>2848</v>
      </c>
      <c r="J815" s="200">
        <f t="shared" si="223"/>
        <v>2848</v>
      </c>
      <c r="K815" s="201">
        <f t="shared" si="224"/>
        <v>2848</v>
      </c>
      <c r="L815" s="43"/>
      <c r="N815" s="153">
        <v>154867</v>
      </c>
      <c r="O815" s="153">
        <v>85898</v>
      </c>
      <c r="P815" s="153">
        <v>7006</v>
      </c>
      <c r="Q815" s="153"/>
      <c r="R815" s="153">
        <v>31508</v>
      </c>
      <c r="S815" s="154">
        <v>6619.9</v>
      </c>
      <c r="T815" s="154"/>
      <c r="U815" s="154"/>
      <c r="V815" s="153">
        <v>217457</v>
      </c>
      <c r="W815" s="153">
        <v>114081</v>
      </c>
      <c r="X815" s="153">
        <v>88303</v>
      </c>
      <c r="Y815" s="153">
        <v>92778</v>
      </c>
      <c r="Z815" s="153">
        <v>163233</v>
      </c>
    </row>
    <row r="816" spans="1:26" ht="18" hidden="1" customHeight="1" x14ac:dyDescent="0.2">
      <c r="A816" s="47">
        <f t="shared" si="228"/>
        <v>43667</v>
      </c>
      <c r="B816" s="56" t="s">
        <v>104</v>
      </c>
      <c r="C816" s="48">
        <f t="shared" si="241"/>
        <v>3645</v>
      </c>
      <c r="D816" s="99">
        <f t="shared" si="216"/>
        <v>3432</v>
      </c>
      <c r="E816" s="45">
        <f t="shared" si="217"/>
        <v>3254.0000000000655</v>
      </c>
      <c r="F816" s="45">
        <f t="shared" si="242"/>
        <v>306</v>
      </c>
      <c r="G816" s="79">
        <f t="shared" si="243"/>
        <v>10637.000000000065</v>
      </c>
      <c r="H816" s="199">
        <v>0</v>
      </c>
      <c r="I816" s="199">
        <v>2916</v>
      </c>
      <c r="J816" s="200">
        <f t="shared" si="223"/>
        <v>2916</v>
      </c>
      <c r="K816" s="201">
        <f t="shared" si="224"/>
        <v>-7721.0000000000655</v>
      </c>
      <c r="L816" s="43"/>
      <c r="N816" s="153">
        <v>154867</v>
      </c>
      <c r="O816" s="153">
        <v>85898</v>
      </c>
      <c r="P816" s="153">
        <v>7006</v>
      </c>
      <c r="Q816" s="153"/>
      <c r="R816" s="153">
        <v>31508</v>
      </c>
      <c r="S816" s="154">
        <v>6619.9</v>
      </c>
      <c r="T816" s="154"/>
      <c r="U816" s="154"/>
      <c r="V816" s="153">
        <v>217457</v>
      </c>
      <c r="W816" s="153">
        <v>114081</v>
      </c>
      <c r="X816" s="153">
        <v>88303</v>
      </c>
      <c r="Y816" s="153">
        <v>92778</v>
      </c>
      <c r="Z816" s="153">
        <v>163233</v>
      </c>
    </row>
    <row r="817" spans="1:26" ht="18" hidden="1" customHeight="1" x14ac:dyDescent="0.2">
      <c r="A817" s="47">
        <f t="shared" si="228"/>
        <v>43668</v>
      </c>
      <c r="B817" s="47" t="s">
        <v>96</v>
      </c>
      <c r="C817" s="48">
        <f t="shared" ref="C817" si="244">(V818-V817)*1+(W818-W817)*32+(X818-X817)*12+(Y818-Y817)*6</f>
        <v>2616</v>
      </c>
      <c r="D817" s="99">
        <f t="shared" si="216"/>
        <v>1304</v>
      </c>
      <c r="E817" s="45">
        <f t="shared" si="217"/>
        <v>1192.9999999999782</v>
      </c>
      <c r="F817" s="45">
        <f t="shared" ref="F817" si="245">(Z818-Z817)*1</f>
        <v>88</v>
      </c>
      <c r="G817" s="79">
        <f t="shared" ref="G817" si="246">C817+D817+F817+E817</f>
        <v>5200.9999999999782</v>
      </c>
      <c r="H817" s="199">
        <v>4550</v>
      </c>
      <c r="I817" s="199">
        <v>863</v>
      </c>
      <c r="J817" s="200">
        <f t="shared" si="223"/>
        <v>5413</v>
      </c>
      <c r="K817" s="201">
        <f t="shared" si="224"/>
        <v>212.00000000002183</v>
      </c>
      <c r="L817" s="43"/>
      <c r="N817" s="112">
        <v>155267</v>
      </c>
      <c r="O817" s="112">
        <v>86048</v>
      </c>
      <c r="P817" s="112">
        <v>7035</v>
      </c>
      <c r="Q817" s="112"/>
      <c r="R817" s="112">
        <v>31594</v>
      </c>
      <c r="S817" s="113">
        <v>6646.3</v>
      </c>
      <c r="T817" s="113"/>
      <c r="U817" s="113"/>
      <c r="V817" s="112">
        <v>218002</v>
      </c>
      <c r="W817" s="112">
        <v>114152</v>
      </c>
      <c r="X817" s="112">
        <v>88372</v>
      </c>
      <c r="Y817" s="112">
        <v>92778</v>
      </c>
      <c r="Z817" s="112">
        <v>163539</v>
      </c>
    </row>
    <row r="818" spans="1:26" ht="18" hidden="1" customHeight="1" x14ac:dyDescent="0.2">
      <c r="A818" s="47">
        <f t="shared" si="228"/>
        <v>43669</v>
      </c>
      <c r="B818" s="47" t="s">
        <v>97</v>
      </c>
      <c r="C818" s="48">
        <f t="shared" ref="C818" si="247">(V819-V818)*1+(W819-W818)*32+(X819-X818)*12+(Y819-Y818)*6</f>
        <v>2391</v>
      </c>
      <c r="D818" s="99">
        <f t="shared" si="216"/>
        <v>1272</v>
      </c>
      <c r="E818" s="45">
        <f t="shared" si="217"/>
        <v>1048</v>
      </c>
      <c r="F818" s="45">
        <f t="shared" ref="F818" si="248">(Z819-Z818)*1</f>
        <v>97</v>
      </c>
      <c r="G818" s="79">
        <f t="shared" ref="G818" si="249">C818+D818+F818+E818</f>
        <v>4808</v>
      </c>
      <c r="H818" s="199">
        <v>4148</v>
      </c>
      <c r="I818" s="199">
        <v>800</v>
      </c>
      <c r="J818" s="200">
        <f t="shared" si="223"/>
        <v>4948</v>
      </c>
      <c r="K818" s="201">
        <f t="shared" si="224"/>
        <v>140</v>
      </c>
      <c r="L818" s="43"/>
      <c r="N818" s="112">
        <v>155417</v>
      </c>
      <c r="O818" s="112">
        <v>86103</v>
      </c>
      <c r="P818" s="112">
        <v>7048</v>
      </c>
      <c r="Q818" s="112"/>
      <c r="R818" s="112">
        <v>31623</v>
      </c>
      <c r="S818" s="113">
        <v>6656</v>
      </c>
      <c r="T818" s="113"/>
      <c r="U818" s="113"/>
      <c r="V818" s="112">
        <v>218222</v>
      </c>
      <c r="W818" s="112">
        <v>114201</v>
      </c>
      <c r="X818" s="112">
        <v>88441</v>
      </c>
      <c r="Y818" s="112">
        <v>92778</v>
      </c>
      <c r="Z818" s="112">
        <v>163627</v>
      </c>
    </row>
    <row r="819" spans="1:26" ht="18" hidden="1" customHeight="1" x14ac:dyDescent="0.2">
      <c r="A819" s="47">
        <f t="shared" si="228"/>
        <v>43670</v>
      </c>
      <c r="B819" s="47" t="s">
        <v>98</v>
      </c>
      <c r="C819" s="48">
        <f t="shared" ref="C819" si="250">(V820-V819)*1+(W820-W819)*32+(X820-X819)*12+(Y820-Y819)*6</f>
        <v>2536</v>
      </c>
      <c r="D819" s="99">
        <f t="shared" si="216"/>
        <v>1296</v>
      </c>
      <c r="E819" s="45">
        <f t="shared" si="217"/>
        <v>1096.9999999999563</v>
      </c>
      <c r="F819" s="45">
        <f t="shared" ref="F819" si="251">(Z820-Z819)*1</f>
        <v>95</v>
      </c>
      <c r="G819" s="79">
        <f t="shared" ref="G819" si="252">C819+D819+F819+E819</f>
        <v>5023.9999999999563</v>
      </c>
      <c r="H819" s="199">
        <v>4337</v>
      </c>
      <c r="I819" s="199">
        <v>839</v>
      </c>
      <c r="J819" s="200">
        <f t="shared" si="223"/>
        <v>5176</v>
      </c>
      <c r="K819" s="201">
        <f t="shared" si="224"/>
        <v>152.00000000004366</v>
      </c>
      <c r="L819" s="43"/>
      <c r="N819" s="112">
        <v>155567</v>
      </c>
      <c r="O819" s="112">
        <v>86160</v>
      </c>
      <c r="P819" s="112">
        <v>7057</v>
      </c>
      <c r="Q819" s="112"/>
      <c r="R819" s="112">
        <v>31651</v>
      </c>
      <c r="S819" s="113">
        <v>6664.5</v>
      </c>
      <c r="T819" s="113"/>
      <c r="U819" s="113"/>
      <c r="V819" s="112">
        <v>218437</v>
      </c>
      <c r="W819" s="112">
        <v>114248</v>
      </c>
      <c r="X819" s="112">
        <v>88497</v>
      </c>
      <c r="Y819" s="112">
        <v>92778</v>
      </c>
      <c r="Z819" s="112">
        <v>163724</v>
      </c>
    </row>
    <row r="820" spans="1:26" ht="18" hidden="1" customHeight="1" x14ac:dyDescent="0.2">
      <c r="A820" s="47">
        <f t="shared" si="228"/>
        <v>43671</v>
      </c>
      <c r="B820" s="47" t="s">
        <v>99</v>
      </c>
      <c r="C820" s="48">
        <f t="shared" ref="C820" si="253">(V821-V820)*1+(W821-W820)*32+(X821-X820)*12+(Y821-Y820)*6</f>
        <v>2331</v>
      </c>
      <c r="D820" s="99">
        <f t="shared" si="216"/>
        <v>1464</v>
      </c>
      <c r="E820" s="45">
        <f t="shared" si="217"/>
        <v>1074.0000000000873</v>
      </c>
      <c r="F820" s="45">
        <f t="shared" ref="F820" si="254">(Z821-Z820)*1</f>
        <v>95</v>
      </c>
      <c r="G820" s="79">
        <f t="shared" ref="G820" si="255">C820+D820+F820+E820</f>
        <v>4964.0000000000873</v>
      </c>
      <c r="H820" s="199">
        <v>4195</v>
      </c>
      <c r="I820" s="199">
        <v>854</v>
      </c>
      <c r="J820" s="200">
        <f t="shared" si="223"/>
        <v>5049</v>
      </c>
      <c r="K820" s="201">
        <f t="shared" si="224"/>
        <v>84.999999999912689</v>
      </c>
      <c r="L820" s="43"/>
      <c r="N820" s="112">
        <v>155717</v>
      </c>
      <c r="O820" s="112">
        <v>86218</v>
      </c>
      <c r="P820" s="112">
        <v>7069</v>
      </c>
      <c r="Q820" s="112"/>
      <c r="R820" s="112">
        <v>31680</v>
      </c>
      <c r="S820" s="113">
        <v>6673.4</v>
      </c>
      <c r="T820" s="113"/>
      <c r="U820" s="113"/>
      <c r="V820" s="112">
        <v>218673</v>
      </c>
      <c r="W820" s="112">
        <v>114297</v>
      </c>
      <c r="X820" s="112">
        <v>88558</v>
      </c>
      <c r="Y820" s="112">
        <v>92778</v>
      </c>
      <c r="Z820" s="112">
        <v>163819</v>
      </c>
    </row>
    <row r="821" spans="1:26" ht="18" hidden="1" customHeight="1" x14ac:dyDescent="0.2">
      <c r="A821" s="47">
        <f t="shared" si="228"/>
        <v>43672</v>
      </c>
      <c r="B821" s="47" t="s">
        <v>100</v>
      </c>
      <c r="C821" s="48">
        <f t="shared" ref="C821:C823" si="256">(V822-V821)*1+(W822-W821)*32+(X822-X821)*12+(Y822-Y821)*6</f>
        <v>0</v>
      </c>
      <c r="D821" s="99">
        <f t="shared" si="216"/>
        <v>0</v>
      </c>
      <c r="E821" s="45">
        <f t="shared" si="217"/>
        <v>0</v>
      </c>
      <c r="F821" s="45">
        <f t="shared" ref="F821:F823" si="257">(Z822-Z821)*1</f>
        <v>0</v>
      </c>
      <c r="G821" s="79">
        <f t="shared" ref="G821:G823" si="258">C821+D821+F821+E821</f>
        <v>0</v>
      </c>
      <c r="H821" s="199">
        <v>4427</v>
      </c>
      <c r="I821" s="199">
        <v>935</v>
      </c>
      <c r="J821" s="200">
        <f t="shared" si="223"/>
        <v>5362</v>
      </c>
      <c r="K821" s="201">
        <f t="shared" si="224"/>
        <v>5362</v>
      </c>
      <c r="L821" s="43"/>
      <c r="N821" s="112">
        <v>155887</v>
      </c>
      <c r="O821" s="112">
        <v>86286</v>
      </c>
      <c r="P821" s="112">
        <v>7082</v>
      </c>
      <c r="Q821" s="112"/>
      <c r="R821" s="112">
        <v>31710</v>
      </c>
      <c r="S821" s="113">
        <v>6682.1</v>
      </c>
      <c r="T821" s="113"/>
      <c r="U821" s="113"/>
      <c r="V821" s="112">
        <v>218912</v>
      </c>
      <c r="W821" s="112">
        <v>114341</v>
      </c>
      <c r="X821" s="112">
        <v>88615</v>
      </c>
      <c r="Y821" s="112">
        <v>92778</v>
      </c>
      <c r="Z821" s="112">
        <v>163914</v>
      </c>
    </row>
    <row r="822" spans="1:26" ht="18" hidden="1" customHeight="1" x14ac:dyDescent="0.2">
      <c r="A822" s="47">
        <f t="shared" si="228"/>
        <v>43673</v>
      </c>
      <c r="B822" s="56" t="s">
        <v>103</v>
      </c>
      <c r="C822" s="48">
        <f t="shared" si="256"/>
        <v>0</v>
      </c>
      <c r="D822" s="99">
        <f t="shared" si="216"/>
        <v>0</v>
      </c>
      <c r="E822" s="45">
        <f t="shared" si="217"/>
        <v>0</v>
      </c>
      <c r="F822" s="45">
        <f t="shared" si="257"/>
        <v>0</v>
      </c>
      <c r="G822" s="79">
        <f t="shared" si="258"/>
        <v>0</v>
      </c>
      <c r="H822" s="199">
        <v>0</v>
      </c>
      <c r="I822" s="199">
        <v>2857</v>
      </c>
      <c r="J822" s="200">
        <f t="shared" si="223"/>
        <v>2857</v>
      </c>
      <c r="K822" s="201">
        <f t="shared" si="224"/>
        <v>2857</v>
      </c>
      <c r="L822" s="43"/>
      <c r="N822" s="153">
        <v>155887</v>
      </c>
      <c r="O822" s="153">
        <v>86286</v>
      </c>
      <c r="P822" s="153">
        <v>7082</v>
      </c>
      <c r="Q822" s="153"/>
      <c r="R822" s="153">
        <v>31710</v>
      </c>
      <c r="S822" s="154">
        <v>6682.1</v>
      </c>
      <c r="T822" s="154"/>
      <c r="U822" s="154"/>
      <c r="V822" s="153">
        <v>218912</v>
      </c>
      <c r="W822" s="153">
        <v>114341</v>
      </c>
      <c r="X822" s="153">
        <v>88615</v>
      </c>
      <c r="Y822" s="153">
        <v>92778</v>
      </c>
      <c r="Z822" s="153">
        <v>163914</v>
      </c>
    </row>
    <row r="823" spans="1:26" ht="18" hidden="1" customHeight="1" x14ac:dyDescent="0.2">
      <c r="A823" s="47">
        <f t="shared" si="228"/>
        <v>43674</v>
      </c>
      <c r="B823" s="56" t="s">
        <v>104</v>
      </c>
      <c r="C823" s="48">
        <f t="shared" si="256"/>
        <v>3620</v>
      </c>
      <c r="D823" s="99">
        <f t="shared" si="216"/>
        <v>3576</v>
      </c>
      <c r="E823" s="45">
        <f t="shared" si="217"/>
        <v>3411.9999999999782</v>
      </c>
      <c r="F823" s="45">
        <f t="shared" si="257"/>
        <v>348</v>
      </c>
      <c r="G823" s="79">
        <f t="shared" si="258"/>
        <v>10955.999999999978</v>
      </c>
      <c r="H823" s="199">
        <v>0</v>
      </c>
      <c r="I823" s="199">
        <v>3068</v>
      </c>
      <c r="J823" s="200">
        <f t="shared" si="223"/>
        <v>3068</v>
      </c>
      <c r="K823" s="201">
        <f t="shared" si="224"/>
        <v>-7887.9999999999782</v>
      </c>
      <c r="L823" s="43"/>
      <c r="N823" s="153">
        <v>155887</v>
      </c>
      <c r="O823" s="153">
        <v>86286</v>
      </c>
      <c r="P823" s="153">
        <v>7082</v>
      </c>
      <c r="Q823" s="153"/>
      <c r="R823" s="153">
        <v>31710</v>
      </c>
      <c r="S823" s="154">
        <v>6682.1</v>
      </c>
      <c r="T823" s="154"/>
      <c r="U823" s="154"/>
      <c r="V823" s="153">
        <v>218912</v>
      </c>
      <c r="W823" s="153">
        <v>114341</v>
      </c>
      <c r="X823" s="153">
        <v>88615</v>
      </c>
      <c r="Y823" s="153">
        <v>92778</v>
      </c>
      <c r="Z823" s="153">
        <v>163914</v>
      </c>
    </row>
    <row r="824" spans="1:26" ht="18" hidden="1" customHeight="1" x14ac:dyDescent="0.2">
      <c r="A824" s="47">
        <f t="shared" si="228"/>
        <v>43675</v>
      </c>
      <c r="B824" s="47" t="s">
        <v>96</v>
      </c>
      <c r="C824" s="48">
        <f t="shared" ref="C824" si="259">(V825-V824)*1+(W825-W824)*32+(X825-X824)*12+(Y825-Y824)*6</f>
        <v>2232</v>
      </c>
      <c r="D824" s="99">
        <f t="shared" si="216"/>
        <v>1360</v>
      </c>
      <c r="E824" s="45">
        <f t="shared" si="217"/>
        <v>1291</v>
      </c>
      <c r="F824" s="45">
        <f t="shared" ref="F824" si="260">(Z825-Z824)*1</f>
        <v>98</v>
      </c>
      <c r="G824" s="79">
        <f t="shared" ref="G824" si="261">C824+D824+F824+E824</f>
        <v>4981</v>
      </c>
      <c r="H824" s="199">
        <v>4318</v>
      </c>
      <c r="I824" s="199">
        <v>951</v>
      </c>
      <c r="J824" s="200">
        <f t="shared" si="223"/>
        <v>5269</v>
      </c>
      <c r="K824" s="201">
        <f t="shared" si="224"/>
        <v>288</v>
      </c>
      <c r="L824" s="43"/>
      <c r="N824" s="112">
        <v>156307</v>
      </c>
      <c r="O824" s="112">
        <v>86443</v>
      </c>
      <c r="P824" s="112">
        <v>7109</v>
      </c>
      <c r="Q824" s="112"/>
      <c r="R824" s="112">
        <v>31798</v>
      </c>
      <c r="S824" s="113">
        <v>6709.8</v>
      </c>
      <c r="T824" s="113"/>
      <c r="U824" s="113"/>
      <c r="V824" s="112">
        <v>219508</v>
      </c>
      <c r="W824" s="112">
        <v>114413</v>
      </c>
      <c r="X824" s="112">
        <v>88675</v>
      </c>
      <c r="Y824" s="112">
        <v>92778</v>
      </c>
      <c r="Z824" s="112">
        <v>164262</v>
      </c>
    </row>
    <row r="825" spans="1:26" ht="18" hidden="1" customHeight="1" x14ac:dyDescent="0.2">
      <c r="A825" s="47">
        <f t="shared" si="228"/>
        <v>43676</v>
      </c>
      <c r="B825" s="47" t="s">
        <v>97</v>
      </c>
      <c r="C825" s="48">
        <f t="shared" ref="C825" si="262">(V826-V825)*1+(W826-W825)*32+(X826-X825)*12+(Y826-Y825)*6</f>
        <v>2762</v>
      </c>
      <c r="D825" s="99">
        <f t="shared" si="216"/>
        <v>1704</v>
      </c>
      <c r="E825" s="45">
        <f t="shared" si="217"/>
        <v>1157.9999999999563</v>
      </c>
      <c r="F825" s="45">
        <f t="shared" ref="F825" si="263">(Z826-Z825)*1</f>
        <v>107</v>
      </c>
      <c r="G825" s="79">
        <f t="shared" ref="G825" si="264">C825+D825+F825+E825</f>
        <v>5730.9999999999563</v>
      </c>
      <c r="H825" s="199">
        <v>4708</v>
      </c>
      <c r="I825" s="199">
        <v>983</v>
      </c>
      <c r="J825" s="200">
        <f t="shared" si="223"/>
        <v>5691</v>
      </c>
      <c r="K825" s="201">
        <f t="shared" si="224"/>
        <v>-39.999999999956344</v>
      </c>
      <c r="L825" s="43"/>
      <c r="N825" s="112">
        <v>156467</v>
      </c>
      <c r="O825" s="112">
        <v>86512</v>
      </c>
      <c r="P825" s="112">
        <v>7119</v>
      </c>
      <c r="Q825" s="112"/>
      <c r="R825" s="112">
        <v>31829</v>
      </c>
      <c r="S825" s="113">
        <v>6720.3</v>
      </c>
      <c r="T825" s="113"/>
      <c r="U825" s="113"/>
      <c r="V825" s="112">
        <v>219760</v>
      </c>
      <c r="W825" s="112">
        <v>114455</v>
      </c>
      <c r="X825" s="112">
        <v>88728</v>
      </c>
      <c r="Y825" s="112">
        <v>92778</v>
      </c>
      <c r="Z825" s="112">
        <v>164360</v>
      </c>
    </row>
    <row r="826" spans="1:26" ht="18" hidden="1" customHeight="1" x14ac:dyDescent="0.2">
      <c r="A826" s="47">
        <f t="shared" si="228"/>
        <v>43677</v>
      </c>
      <c r="B826" s="47" t="s">
        <v>98</v>
      </c>
      <c r="C826" s="48">
        <f t="shared" ref="C826" si="265">(V827-V826)*1+(W827-W826)*32+(X827-X826)*12+(Y827-Y826)*6</f>
        <v>2351</v>
      </c>
      <c r="D826" s="99">
        <f t="shared" si="216"/>
        <v>1440</v>
      </c>
      <c r="E826" s="45">
        <f t="shared" si="217"/>
        <v>1074.9999999999782</v>
      </c>
      <c r="F826" s="45">
        <f t="shared" ref="F826" si="266">(Z827-Z826)*1</f>
        <v>95</v>
      </c>
      <c r="G826" s="79">
        <f t="shared" ref="G826" si="267">C826+D826+F826+E826</f>
        <v>4960.9999999999782</v>
      </c>
      <c r="H826" s="199">
        <v>4286</v>
      </c>
      <c r="I826" s="199">
        <v>972</v>
      </c>
      <c r="J826" s="200">
        <f t="shared" si="223"/>
        <v>5258</v>
      </c>
      <c r="K826" s="201">
        <f t="shared" si="224"/>
        <v>297.00000000002183</v>
      </c>
      <c r="L826" s="43"/>
      <c r="N826" s="112">
        <v>156667</v>
      </c>
      <c r="O826" s="112">
        <v>86580</v>
      </c>
      <c r="P826" s="112">
        <v>7132</v>
      </c>
      <c r="Q826" s="112"/>
      <c r="R826" s="112">
        <v>31859</v>
      </c>
      <c r="S826" s="113">
        <v>6729.7</v>
      </c>
      <c r="T826" s="113"/>
      <c r="U826" s="113"/>
      <c r="V826" s="112">
        <v>220014</v>
      </c>
      <c r="W826" s="112">
        <v>114506</v>
      </c>
      <c r="X826" s="112">
        <v>88801</v>
      </c>
      <c r="Y826" s="112">
        <v>92778</v>
      </c>
      <c r="Z826" s="112">
        <v>164467</v>
      </c>
    </row>
    <row r="827" spans="1:26" ht="18" hidden="1" customHeight="1" x14ac:dyDescent="0.2">
      <c r="A827" s="47">
        <f t="shared" si="228"/>
        <v>43678</v>
      </c>
      <c r="B827" s="47" t="s">
        <v>99</v>
      </c>
      <c r="C827" s="48">
        <f t="shared" ref="C827" si="268">(V828-V827)*1+(W828-W827)*32+(X828-X827)*12+(Y828-Y827)*6</f>
        <v>2508</v>
      </c>
      <c r="D827" s="99">
        <f t="shared" si="216"/>
        <v>1552</v>
      </c>
      <c r="E827" s="45">
        <f t="shared" si="217"/>
        <v>1012.0000000000873</v>
      </c>
      <c r="F827" s="45">
        <f t="shared" ref="F827" si="269">(Z828-Z827)*1</f>
        <v>105</v>
      </c>
      <c r="G827" s="79">
        <f t="shared" ref="G827" si="270">C827+D827+F827+E827</f>
        <v>5177.0000000000873</v>
      </c>
      <c r="H827" s="199">
        <v>4358</v>
      </c>
      <c r="I827" s="199">
        <v>927</v>
      </c>
      <c r="J827" s="200">
        <f>H827+I827</f>
        <v>5285</v>
      </c>
      <c r="K827" s="201">
        <f t="shared" si="224"/>
        <v>107.99999999991269</v>
      </c>
      <c r="L827" s="43"/>
      <c r="N827" s="112">
        <v>156837</v>
      </c>
      <c r="O827" s="112">
        <v>86648</v>
      </c>
      <c r="P827" s="112">
        <v>7142</v>
      </c>
      <c r="Q827" s="112"/>
      <c r="R827" s="112">
        <v>31890</v>
      </c>
      <c r="S827" s="113">
        <v>6738.4</v>
      </c>
      <c r="T827" s="113"/>
      <c r="U827" s="113"/>
      <c r="V827" s="112">
        <v>220249</v>
      </c>
      <c r="W827" s="112">
        <v>114550</v>
      </c>
      <c r="X827" s="112">
        <v>88860</v>
      </c>
      <c r="Y827" s="112">
        <v>92778</v>
      </c>
      <c r="Z827" s="112">
        <v>164562</v>
      </c>
    </row>
    <row r="828" spans="1:26" ht="18" hidden="1" customHeight="1" x14ac:dyDescent="0.2">
      <c r="A828" s="47">
        <f t="shared" si="228"/>
        <v>43679</v>
      </c>
      <c r="B828" s="47" t="s">
        <v>100</v>
      </c>
      <c r="C828" s="48">
        <f t="shared" ref="C828:C830" si="271">(V829-V828)*1+(W829-W828)*32+(X829-X828)*12+(Y829-Y828)*6</f>
        <v>0</v>
      </c>
      <c r="D828" s="99">
        <f t="shared" si="216"/>
        <v>0</v>
      </c>
      <c r="E828" s="45">
        <f t="shared" si="217"/>
        <v>0</v>
      </c>
      <c r="F828" s="45">
        <f t="shared" ref="F828:F830" si="272">(Z829-Z828)*1</f>
        <v>0</v>
      </c>
      <c r="G828" s="79">
        <f t="shared" ref="G828:G830" si="273">C828+D828+F828+E828</f>
        <v>0</v>
      </c>
      <c r="H828" s="199">
        <v>4458</v>
      </c>
      <c r="I828" s="199">
        <v>886</v>
      </c>
      <c r="J828" s="200">
        <f t="shared" ref="J828:J857" si="274">H828+I828</f>
        <v>5344</v>
      </c>
      <c r="K828" s="201">
        <f t="shared" si="224"/>
        <v>5344</v>
      </c>
      <c r="L828" s="43"/>
      <c r="N828" s="112">
        <v>157017</v>
      </c>
      <c r="O828" s="112">
        <v>86717</v>
      </c>
      <c r="P828" s="112">
        <v>7156</v>
      </c>
      <c r="Q828" s="112"/>
      <c r="R828" s="112">
        <v>31918</v>
      </c>
      <c r="S828" s="113">
        <v>6746.6</v>
      </c>
      <c r="T828" s="113"/>
      <c r="U828" s="113"/>
      <c r="V828" s="112">
        <v>220485</v>
      </c>
      <c r="W828" s="112">
        <v>114597</v>
      </c>
      <c r="X828" s="112">
        <v>88924</v>
      </c>
      <c r="Y828" s="112">
        <v>92778</v>
      </c>
      <c r="Z828" s="112">
        <v>164667</v>
      </c>
    </row>
    <row r="829" spans="1:26" ht="18" hidden="1" customHeight="1" x14ac:dyDescent="0.2">
      <c r="A829" s="47">
        <f t="shared" si="228"/>
        <v>43680</v>
      </c>
      <c r="B829" s="56" t="s">
        <v>103</v>
      </c>
      <c r="C829" s="48">
        <f t="shared" si="271"/>
        <v>0</v>
      </c>
      <c r="D829" s="99">
        <f t="shared" si="216"/>
        <v>0</v>
      </c>
      <c r="E829" s="45">
        <f t="shared" si="217"/>
        <v>0</v>
      </c>
      <c r="F829" s="45">
        <f t="shared" si="272"/>
        <v>0</v>
      </c>
      <c r="G829" s="79">
        <f t="shared" si="273"/>
        <v>0</v>
      </c>
      <c r="H829" s="199">
        <v>0</v>
      </c>
      <c r="I829" s="199">
        <v>2796</v>
      </c>
      <c r="J829" s="200">
        <f t="shared" si="274"/>
        <v>2796</v>
      </c>
      <c r="K829" s="201">
        <f t="shared" si="224"/>
        <v>2796</v>
      </c>
      <c r="L829" s="43"/>
      <c r="N829" s="153">
        <v>157017</v>
      </c>
      <c r="O829" s="153">
        <v>86717</v>
      </c>
      <c r="P829" s="153">
        <v>7156</v>
      </c>
      <c r="Q829" s="153"/>
      <c r="R829" s="153">
        <v>31918</v>
      </c>
      <c r="S829" s="154">
        <v>6746.6</v>
      </c>
      <c r="T829" s="154"/>
      <c r="U829" s="154"/>
      <c r="V829" s="153">
        <v>220485</v>
      </c>
      <c r="W829" s="153">
        <v>114597</v>
      </c>
      <c r="X829" s="153">
        <v>88924</v>
      </c>
      <c r="Y829" s="153">
        <v>92778</v>
      </c>
      <c r="Z829" s="153">
        <v>164667</v>
      </c>
    </row>
    <row r="830" spans="1:26" ht="18" hidden="1" customHeight="1" x14ac:dyDescent="0.2">
      <c r="A830" s="47">
        <f t="shared" si="228"/>
        <v>43681</v>
      </c>
      <c r="B830" s="56" t="s">
        <v>104</v>
      </c>
      <c r="C830" s="48">
        <f t="shared" si="271"/>
        <v>3554</v>
      </c>
      <c r="D830" s="99">
        <f t="shared" si="216"/>
        <v>3408</v>
      </c>
      <c r="E830" s="45">
        <f t="shared" si="217"/>
        <v>3277.9999999999345</v>
      </c>
      <c r="F830" s="45">
        <f t="shared" si="272"/>
        <v>287</v>
      </c>
      <c r="G830" s="79">
        <f t="shared" si="273"/>
        <v>10526.999999999935</v>
      </c>
      <c r="H830" s="199">
        <v>0</v>
      </c>
      <c r="I830" s="199">
        <v>2868</v>
      </c>
      <c r="J830" s="200">
        <f t="shared" si="274"/>
        <v>2868</v>
      </c>
      <c r="K830" s="201">
        <f t="shared" si="224"/>
        <v>-7658.9999999999345</v>
      </c>
      <c r="L830" s="43"/>
      <c r="N830" s="153">
        <v>157017</v>
      </c>
      <c r="O830" s="153">
        <v>86717</v>
      </c>
      <c r="P830" s="153">
        <v>7156</v>
      </c>
      <c r="Q830" s="153"/>
      <c r="R830" s="153">
        <v>31918</v>
      </c>
      <c r="S830" s="154">
        <v>6746.6</v>
      </c>
      <c r="T830" s="154"/>
      <c r="U830" s="154"/>
      <c r="V830" s="153">
        <v>220485</v>
      </c>
      <c r="W830" s="153">
        <v>114597</v>
      </c>
      <c r="X830" s="153">
        <v>88924</v>
      </c>
      <c r="Y830" s="153">
        <v>92778</v>
      </c>
      <c r="Z830" s="153">
        <v>164667</v>
      </c>
    </row>
    <row r="831" spans="1:26" ht="18" hidden="1" customHeight="1" x14ac:dyDescent="0.2">
      <c r="A831" s="47">
        <f t="shared" si="228"/>
        <v>43682</v>
      </c>
      <c r="B831" s="47" t="s">
        <v>96</v>
      </c>
      <c r="C831" s="48">
        <f t="shared" ref="C831" si="275">(V832-V831)*1+(W832-W831)*32+(X832-X831)*12+(Y832-Y831)*6</f>
        <v>2787</v>
      </c>
      <c r="D831" s="99">
        <f t="shared" si="216"/>
        <v>1368</v>
      </c>
      <c r="E831" s="45">
        <f t="shared" si="217"/>
        <v>1303.0000000000437</v>
      </c>
      <c r="F831" s="45">
        <f t="shared" ref="F831" si="276">(Z832-Z831)*1</f>
        <v>101</v>
      </c>
      <c r="G831" s="79">
        <f t="shared" ref="G831" si="277">C831+D831+F831+E831</f>
        <v>5559.0000000000437</v>
      </c>
      <c r="H831" s="199">
        <v>4762</v>
      </c>
      <c r="I831" s="199">
        <v>872</v>
      </c>
      <c r="J831" s="200">
        <f t="shared" si="274"/>
        <v>5634</v>
      </c>
      <c r="K831" s="201">
        <f t="shared" si="224"/>
        <v>74.999999999956344</v>
      </c>
      <c r="L831" s="43"/>
      <c r="N831" s="112">
        <v>157417</v>
      </c>
      <c r="O831" s="112">
        <v>86868</v>
      </c>
      <c r="P831" s="112">
        <v>7182</v>
      </c>
      <c r="Q831" s="112"/>
      <c r="R831" s="112">
        <v>32004</v>
      </c>
      <c r="S831" s="113">
        <v>6773.2</v>
      </c>
      <c r="T831" s="113"/>
      <c r="U831" s="113"/>
      <c r="V831" s="112">
        <v>220983</v>
      </c>
      <c r="W831" s="112">
        <v>114667</v>
      </c>
      <c r="X831" s="112">
        <v>88992</v>
      </c>
      <c r="Y831" s="112">
        <v>92778</v>
      </c>
      <c r="Z831" s="112">
        <v>164954</v>
      </c>
    </row>
    <row r="832" spans="1:26" ht="18" hidden="1" customHeight="1" x14ac:dyDescent="0.2">
      <c r="A832" s="47">
        <f t="shared" si="228"/>
        <v>43683</v>
      </c>
      <c r="B832" s="47" t="s">
        <v>97</v>
      </c>
      <c r="C832" s="48">
        <f t="shared" ref="C832" si="278">(V833-V832)*1+(W833-W832)*32+(X833-X832)*12+(Y833-Y832)*6</f>
        <v>2736</v>
      </c>
      <c r="D832" s="99">
        <f t="shared" si="216"/>
        <v>1320</v>
      </c>
      <c r="E832" s="45">
        <f t="shared" si="217"/>
        <v>1047</v>
      </c>
      <c r="F832" s="45">
        <f t="shared" ref="F832" si="279">(Z833-Z832)*1</f>
        <v>101</v>
      </c>
      <c r="G832" s="79">
        <f t="shared" ref="G832" si="280">C832+D832+F832+E832</f>
        <v>5204</v>
      </c>
      <c r="H832" s="199">
        <v>4494</v>
      </c>
      <c r="I832" s="199">
        <v>888</v>
      </c>
      <c r="J832" s="200">
        <f t="shared" si="274"/>
        <v>5382</v>
      </c>
      <c r="K832" s="201">
        <f t="shared" si="224"/>
        <v>178</v>
      </c>
      <c r="L832" s="43"/>
      <c r="N832" s="112">
        <v>157577</v>
      </c>
      <c r="O832" s="112">
        <v>86931</v>
      </c>
      <c r="P832" s="112">
        <v>7193</v>
      </c>
      <c r="Q832" s="112"/>
      <c r="R832" s="112">
        <v>32035</v>
      </c>
      <c r="S832" s="113">
        <v>6783.8</v>
      </c>
      <c r="T832" s="113"/>
      <c r="U832" s="113"/>
      <c r="V832" s="112">
        <v>221242</v>
      </c>
      <c r="W832" s="112">
        <v>114719</v>
      </c>
      <c r="X832" s="112">
        <v>89064</v>
      </c>
      <c r="Y832" s="112">
        <v>92778</v>
      </c>
      <c r="Z832" s="112">
        <v>165055</v>
      </c>
    </row>
    <row r="833" spans="1:26" ht="18" hidden="1" customHeight="1" x14ac:dyDescent="0.2">
      <c r="A833" s="47">
        <f t="shared" si="228"/>
        <v>43684</v>
      </c>
      <c r="B833" s="47" t="s">
        <v>98</v>
      </c>
      <c r="C833" s="48">
        <f t="shared" ref="C833" si="281">(V834-V833)*1+(W834-W833)*32+(X834-X833)*12+(Y834-Y833)*6</f>
        <v>2722</v>
      </c>
      <c r="D833" s="99">
        <f t="shared" si="216"/>
        <v>1264</v>
      </c>
      <c r="E833" s="45">
        <f t="shared" si="217"/>
        <v>1071.9999999999782</v>
      </c>
      <c r="F833" s="45">
        <f t="shared" ref="F833" si="282">(Z834-Z833)*1</f>
        <v>105</v>
      </c>
      <c r="G833" s="79">
        <f t="shared" ref="G833" si="283">C833+D833+F833+E833</f>
        <v>5162.9999999999782</v>
      </c>
      <c r="H833" s="199">
        <v>4490</v>
      </c>
      <c r="I833" s="199">
        <v>850</v>
      </c>
      <c r="J833" s="200">
        <f t="shared" si="274"/>
        <v>5340</v>
      </c>
      <c r="K833" s="201">
        <f t="shared" si="224"/>
        <v>177.00000000002183</v>
      </c>
      <c r="L833" s="43"/>
      <c r="N833" s="112">
        <v>157727</v>
      </c>
      <c r="O833" s="112">
        <v>86998</v>
      </c>
      <c r="P833" s="112">
        <v>7208</v>
      </c>
      <c r="Q833" s="112"/>
      <c r="R833" s="112">
        <v>32062</v>
      </c>
      <c r="S833" s="113">
        <v>6792.3</v>
      </c>
      <c r="T833" s="113"/>
      <c r="U833" s="113"/>
      <c r="V833" s="112">
        <v>221482</v>
      </c>
      <c r="W833" s="112">
        <v>114773</v>
      </c>
      <c r="X833" s="112">
        <v>89128</v>
      </c>
      <c r="Y833" s="112">
        <v>92778</v>
      </c>
      <c r="Z833" s="112">
        <v>165156</v>
      </c>
    </row>
    <row r="834" spans="1:26" ht="18" hidden="1" customHeight="1" x14ac:dyDescent="0.2">
      <c r="A834" s="47">
        <f t="shared" si="228"/>
        <v>43685</v>
      </c>
      <c r="B834" s="47" t="s">
        <v>99</v>
      </c>
      <c r="C834" s="48">
        <f t="shared" ref="C834" si="284">(V835-V834)*1+(W835-W834)*32+(X835-X834)*12+(Y835-Y834)*6</f>
        <v>2807</v>
      </c>
      <c r="D834" s="99">
        <f t="shared" si="216"/>
        <v>1296</v>
      </c>
      <c r="E834" s="45">
        <f t="shared" si="217"/>
        <v>1222</v>
      </c>
      <c r="F834" s="45">
        <f t="shared" ref="F834" si="285">(Z835-Z834)*1</f>
        <v>92</v>
      </c>
      <c r="G834" s="79">
        <f t="shared" ref="G834" si="286">C834+D834+F834+E834</f>
        <v>5417</v>
      </c>
      <c r="H834" s="199">
        <v>4488</v>
      </c>
      <c r="I834" s="199">
        <v>824</v>
      </c>
      <c r="J834" s="200">
        <f t="shared" si="274"/>
        <v>5312</v>
      </c>
      <c r="K834" s="201">
        <f t="shared" si="224"/>
        <v>-105</v>
      </c>
      <c r="L834" s="43"/>
      <c r="N834" s="112">
        <v>157877</v>
      </c>
      <c r="O834" s="112">
        <v>87043</v>
      </c>
      <c r="P834" s="112">
        <v>7216</v>
      </c>
      <c r="Q834" s="112"/>
      <c r="R834" s="112">
        <v>32090</v>
      </c>
      <c r="S834" s="113">
        <v>6801</v>
      </c>
      <c r="T834" s="113"/>
      <c r="U834" s="113"/>
      <c r="V834" s="112">
        <v>221724</v>
      </c>
      <c r="W834" s="112">
        <v>114825</v>
      </c>
      <c r="X834" s="112">
        <v>89196</v>
      </c>
      <c r="Y834" s="112">
        <v>92778</v>
      </c>
      <c r="Z834" s="112">
        <v>165261</v>
      </c>
    </row>
    <row r="835" spans="1:26" ht="18" hidden="1" customHeight="1" x14ac:dyDescent="0.2">
      <c r="A835" s="47">
        <f t="shared" si="228"/>
        <v>43686</v>
      </c>
      <c r="B835" s="47" t="s">
        <v>100</v>
      </c>
      <c r="C835" s="48">
        <f t="shared" ref="C835:C837" si="287">(V836-V835)*1+(W836-W835)*32+(X836-X835)*12+(Y836-Y835)*6</f>
        <v>0</v>
      </c>
      <c r="D835" s="99">
        <f t="shared" si="216"/>
        <v>0</v>
      </c>
      <c r="E835" s="45">
        <f t="shared" si="217"/>
        <v>0</v>
      </c>
      <c r="F835" s="45">
        <f t="shared" ref="F835:F837" si="288">(Z836-Z835)*1</f>
        <v>0</v>
      </c>
      <c r="G835" s="79">
        <f t="shared" ref="G835:G837" si="289">C835+D835+F835+E835</f>
        <v>0</v>
      </c>
      <c r="H835" s="199">
        <v>3417</v>
      </c>
      <c r="I835" s="199">
        <v>775</v>
      </c>
      <c r="J835" s="200">
        <f t="shared" si="274"/>
        <v>4192</v>
      </c>
      <c r="K835" s="201">
        <f t="shared" si="224"/>
        <v>4192</v>
      </c>
      <c r="L835" s="43"/>
      <c r="N835" s="112">
        <v>158027</v>
      </c>
      <c r="O835" s="112">
        <v>87099</v>
      </c>
      <c r="P835" s="112">
        <v>7228</v>
      </c>
      <c r="Q835" s="112"/>
      <c r="R835" s="112">
        <v>32112</v>
      </c>
      <c r="S835" s="113">
        <v>6811</v>
      </c>
      <c r="T835" s="113"/>
      <c r="U835" s="113"/>
      <c r="V835" s="112">
        <v>221959</v>
      </c>
      <c r="W835" s="112">
        <v>114878</v>
      </c>
      <c r="X835" s="112">
        <v>89269</v>
      </c>
      <c r="Y835" s="112">
        <v>92778</v>
      </c>
      <c r="Z835" s="112">
        <v>165353</v>
      </c>
    </row>
    <row r="836" spans="1:26" ht="18" hidden="1" customHeight="1" x14ac:dyDescent="0.2">
      <c r="A836" s="47">
        <f t="shared" si="228"/>
        <v>43687</v>
      </c>
      <c r="B836" s="56" t="s">
        <v>103</v>
      </c>
      <c r="C836" s="48">
        <f t="shared" si="287"/>
        <v>0</v>
      </c>
      <c r="D836" s="99">
        <f t="shared" si="216"/>
        <v>0</v>
      </c>
      <c r="E836" s="45">
        <f t="shared" si="217"/>
        <v>0</v>
      </c>
      <c r="F836" s="45">
        <f t="shared" si="288"/>
        <v>0</v>
      </c>
      <c r="G836" s="79">
        <f t="shared" si="289"/>
        <v>0</v>
      </c>
      <c r="H836" s="199">
        <v>0</v>
      </c>
      <c r="I836" s="199">
        <v>2934</v>
      </c>
      <c r="J836" s="200">
        <f t="shared" si="274"/>
        <v>2934</v>
      </c>
      <c r="K836" s="201">
        <f t="shared" si="224"/>
        <v>2934</v>
      </c>
      <c r="L836" s="43"/>
      <c r="N836" s="153">
        <v>158027</v>
      </c>
      <c r="O836" s="153">
        <v>87099</v>
      </c>
      <c r="P836" s="153">
        <v>7228</v>
      </c>
      <c r="Q836" s="153"/>
      <c r="R836" s="153">
        <v>32112</v>
      </c>
      <c r="S836" s="154">
        <v>6811</v>
      </c>
      <c r="T836" s="154"/>
      <c r="U836" s="154"/>
      <c r="V836" s="153">
        <v>221959</v>
      </c>
      <c r="W836" s="153">
        <v>114878</v>
      </c>
      <c r="X836" s="153">
        <v>89269</v>
      </c>
      <c r="Y836" s="153">
        <v>92778</v>
      </c>
      <c r="Z836" s="153">
        <v>165353</v>
      </c>
    </row>
    <row r="837" spans="1:26" ht="18" hidden="1" customHeight="1" x14ac:dyDescent="0.2">
      <c r="A837" s="47">
        <f t="shared" si="228"/>
        <v>43688</v>
      </c>
      <c r="B837" s="56" t="s">
        <v>104</v>
      </c>
      <c r="C837" s="48">
        <f t="shared" si="287"/>
        <v>3379</v>
      </c>
      <c r="D837" s="99">
        <f t="shared" si="216"/>
        <v>2944</v>
      </c>
      <c r="E837" s="45">
        <f t="shared" si="217"/>
        <v>2859.9999999999563</v>
      </c>
      <c r="F837" s="45">
        <f t="shared" si="288"/>
        <v>253</v>
      </c>
      <c r="G837" s="79">
        <f t="shared" si="289"/>
        <v>9435.9999999999563</v>
      </c>
      <c r="H837" s="199">
        <v>0</v>
      </c>
      <c r="I837" s="199">
        <v>2949</v>
      </c>
      <c r="J837" s="200">
        <f t="shared" si="274"/>
        <v>2949</v>
      </c>
      <c r="K837" s="201">
        <f t="shared" si="224"/>
        <v>-6486.9999999999563</v>
      </c>
      <c r="L837" s="43"/>
      <c r="N837" s="153">
        <v>158027</v>
      </c>
      <c r="O837" s="153">
        <v>87099</v>
      </c>
      <c r="P837" s="153">
        <v>7228</v>
      </c>
      <c r="Q837" s="153"/>
      <c r="R837" s="153">
        <v>32112</v>
      </c>
      <c r="S837" s="154">
        <v>6811</v>
      </c>
      <c r="T837" s="154"/>
      <c r="U837" s="154"/>
      <c r="V837" s="153">
        <v>221959</v>
      </c>
      <c r="W837" s="153">
        <v>114878</v>
      </c>
      <c r="X837" s="153">
        <v>89269</v>
      </c>
      <c r="Y837" s="153">
        <v>92778</v>
      </c>
      <c r="Z837" s="153">
        <v>165353</v>
      </c>
    </row>
    <row r="838" spans="1:26" ht="18" hidden="1" customHeight="1" x14ac:dyDescent="0.2">
      <c r="A838" s="47">
        <f t="shared" si="228"/>
        <v>43689</v>
      </c>
      <c r="B838" s="47" t="s">
        <v>96</v>
      </c>
      <c r="C838" s="48">
        <f t="shared" ref="C838" si="290">(V839-V838)*1+(W839-W838)*32+(X839-X838)*12+(Y839-Y838)*6</f>
        <v>2881</v>
      </c>
      <c r="D838" s="99">
        <f t="shared" si="216"/>
        <v>1328</v>
      </c>
      <c r="E838" s="45">
        <f t="shared" si="217"/>
        <v>1167.0000000000437</v>
      </c>
      <c r="F838" s="45">
        <f t="shared" ref="F838" si="291">(Z839-Z838)*1</f>
        <v>86</v>
      </c>
      <c r="G838" s="79">
        <f t="shared" ref="G838" si="292">C838+D838+F838+E838</f>
        <v>5462.0000000000437</v>
      </c>
      <c r="H838" s="199">
        <v>4793</v>
      </c>
      <c r="I838" s="199">
        <v>841</v>
      </c>
      <c r="J838" s="200">
        <f t="shared" si="274"/>
        <v>5634</v>
      </c>
      <c r="K838" s="201">
        <f t="shared" si="224"/>
        <v>171.99999999995634</v>
      </c>
      <c r="L838" s="43"/>
      <c r="N838" s="112">
        <v>158377</v>
      </c>
      <c r="O838" s="112">
        <v>87230</v>
      </c>
      <c r="P838" s="112">
        <v>7246</v>
      </c>
      <c r="Q838" s="112"/>
      <c r="R838" s="112">
        <v>32224</v>
      </c>
      <c r="S838" s="113">
        <v>6833.9</v>
      </c>
      <c r="T838" s="113"/>
      <c r="U838" s="113"/>
      <c r="V838" s="112">
        <v>222590</v>
      </c>
      <c r="W838" s="112">
        <v>114947</v>
      </c>
      <c r="X838" s="112">
        <v>89314</v>
      </c>
      <c r="Y838" s="112">
        <v>92778</v>
      </c>
      <c r="Z838" s="112">
        <v>165606</v>
      </c>
    </row>
    <row r="839" spans="1:26" ht="18" hidden="1" customHeight="1" x14ac:dyDescent="0.2">
      <c r="A839" s="47">
        <f t="shared" si="228"/>
        <v>43690</v>
      </c>
      <c r="B839" s="47" t="s">
        <v>97</v>
      </c>
      <c r="C839" s="48">
        <f t="shared" ref="C839" si="293">(V840-V839)*1+(W840-W839)*32+(X840-X839)*12+(Y840-Y839)*6</f>
        <v>533</v>
      </c>
      <c r="D839" s="99">
        <f t="shared" si="216"/>
        <v>1280</v>
      </c>
      <c r="E839" s="45">
        <f t="shared" si="217"/>
        <v>1080</v>
      </c>
      <c r="F839" s="45">
        <f t="shared" ref="F839" si="294">(Z840-Z839)*1</f>
        <v>95</v>
      </c>
      <c r="G839" s="79">
        <f t="shared" ref="G839" si="295">C839+D839+F839+E839</f>
        <v>2988</v>
      </c>
      <c r="H839" s="199">
        <v>2358</v>
      </c>
      <c r="I839" s="199">
        <v>792</v>
      </c>
      <c r="J839" s="200">
        <f t="shared" si="274"/>
        <v>3150</v>
      </c>
      <c r="K839" s="201">
        <f t="shared" si="224"/>
        <v>162</v>
      </c>
      <c r="L839" s="43"/>
      <c r="N839" s="112">
        <v>158527</v>
      </c>
      <c r="O839" s="112">
        <v>87287</v>
      </c>
      <c r="P839" s="112">
        <v>7262</v>
      </c>
      <c r="Q839" s="112"/>
      <c r="R839" s="112">
        <v>32299</v>
      </c>
      <c r="S839" s="113">
        <v>6843</v>
      </c>
      <c r="T839" s="113"/>
      <c r="U839" s="113"/>
      <c r="V839" s="112">
        <v>222815</v>
      </c>
      <c r="W839" s="112">
        <v>115003</v>
      </c>
      <c r="X839" s="112">
        <v>89386</v>
      </c>
      <c r="Y839" s="112">
        <v>92778</v>
      </c>
      <c r="Z839" s="112">
        <v>165692</v>
      </c>
    </row>
    <row r="840" spans="1:26" ht="18" hidden="1" customHeight="1" x14ac:dyDescent="0.2">
      <c r="A840" s="47">
        <f t="shared" si="228"/>
        <v>43691</v>
      </c>
      <c r="B840" s="47" t="s">
        <v>98</v>
      </c>
      <c r="C840" s="48">
        <f t="shared" ref="C840" si="296">(V841-V840)*1+(W841-W840)*32+(X841-X840)*12+(Y841-Y840)*6</f>
        <v>2584</v>
      </c>
      <c r="D840" s="99">
        <f t="shared" si="216"/>
        <v>1376</v>
      </c>
      <c r="E840" s="45">
        <f t="shared" si="217"/>
        <v>1009.0000000000437</v>
      </c>
      <c r="F840" s="45">
        <f t="shared" ref="F840" si="297">(Z841-Z840)*1</f>
        <v>111</v>
      </c>
      <c r="G840" s="79">
        <f t="shared" ref="G840" si="298">C840+D840+F840+E840</f>
        <v>5080.0000000000437</v>
      </c>
      <c r="H840" s="199">
        <v>4326</v>
      </c>
      <c r="I840" s="199">
        <v>788</v>
      </c>
      <c r="J840" s="200">
        <f t="shared" si="274"/>
        <v>5114</v>
      </c>
      <c r="K840" s="201">
        <f t="shared" si="224"/>
        <v>33.999999999956344</v>
      </c>
      <c r="L840" s="43"/>
      <c r="N840" s="112">
        <v>158677</v>
      </c>
      <c r="O840" s="112">
        <v>87343</v>
      </c>
      <c r="P840" s="112">
        <v>7272</v>
      </c>
      <c r="Q840" s="112"/>
      <c r="R840" s="112">
        <v>32299</v>
      </c>
      <c r="S840" s="113">
        <v>6852</v>
      </c>
      <c r="T840" s="113"/>
      <c r="U840" s="113"/>
      <c r="V840" s="112">
        <v>222984</v>
      </c>
      <c r="W840" s="112">
        <v>115014</v>
      </c>
      <c r="X840" s="112">
        <v>89387</v>
      </c>
      <c r="Y840" s="112">
        <v>92778</v>
      </c>
      <c r="Z840" s="112">
        <v>165787</v>
      </c>
    </row>
    <row r="841" spans="1:26" ht="18" hidden="1" customHeight="1" x14ac:dyDescent="0.2">
      <c r="A841" s="47">
        <f t="shared" si="228"/>
        <v>43692</v>
      </c>
      <c r="B841" s="47" t="s">
        <v>99</v>
      </c>
      <c r="C841" s="48">
        <f t="shared" ref="C841" si="299">(V842-V841)*1+(W842-W841)*32+(X842-X841)*12+(Y842-Y841)*6</f>
        <v>2223</v>
      </c>
      <c r="D841" s="99">
        <f t="shared" si="216"/>
        <v>1280</v>
      </c>
      <c r="E841" s="45">
        <f t="shared" si="217"/>
        <v>1153.9999999999127</v>
      </c>
      <c r="F841" s="45">
        <f t="shared" ref="F841" si="300">(Z842-Z841)*1</f>
        <v>109</v>
      </c>
      <c r="G841" s="79">
        <f t="shared" ref="G841" si="301">C841+D841+F841+E841</f>
        <v>4765.9999999999127</v>
      </c>
      <c r="H841" s="199">
        <v>4074</v>
      </c>
      <c r="I841" s="199">
        <v>847</v>
      </c>
      <c r="J841" s="200">
        <f t="shared" si="274"/>
        <v>4921</v>
      </c>
      <c r="K841" s="201">
        <f t="shared" si="224"/>
        <v>155.00000000008731</v>
      </c>
      <c r="L841" s="43"/>
      <c r="N841" s="112">
        <v>158837</v>
      </c>
      <c r="O841" s="112">
        <v>87402</v>
      </c>
      <c r="P841" s="112">
        <v>7284</v>
      </c>
      <c r="Q841" s="112"/>
      <c r="R841" s="112">
        <v>32336</v>
      </c>
      <c r="S841" s="113">
        <v>6860.1</v>
      </c>
      <c r="T841" s="113"/>
      <c r="U841" s="113"/>
      <c r="V841" s="112">
        <v>223236</v>
      </c>
      <c r="W841" s="112">
        <v>115064</v>
      </c>
      <c r="X841" s="112">
        <v>89448</v>
      </c>
      <c r="Y841" s="112">
        <v>92778</v>
      </c>
      <c r="Z841" s="112">
        <v>165898</v>
      </c>
    </row>
    <row r="842" spans="1:26" ht="18" hidden="1" customHeight="1" x14ac:dyDescent="0.2">
      <c r="A842" s="47">
        <f t="shared" si="228"/>
        <v>43693</v>
      </c>
      <c r="B842" s="47" t="s">
        <v>100</v>
      </c>
      <c r="C842" s="48">
        <f t="shared" ref="C842:C844" si="302">(V843-V842)*1+(W843-W842)*32+(X843-X842)*12+(Y843-Y842)*6</f>
        <v>0</v>
      </c>
      <c r="D842" s="99">
        <f t="shared" si="216"/>
        <v>0</v>
      </c>
      <c r="E842" s="45">
        <f t="shared" si="217"/>
        <v>0</v>
      </c>
      <c r="F842" s="45">
        <f t="shared" ref="F842:F844" si="303">(Z843-Z842)*1</f>
        <v>0</v>
      </c>
      <c r="G842" s="79">
        <f t="shared" ref="G842:G844" si="304">C842+D842+F842+E842</f>
        <v>0</v>
      </c>
      <c r="H842" s="199">
        <v>4289</v>
      </c>
      <c r="I842" s="199">
        <v>860</v>
      </c>
      <c r="J842" s="200">
        <f t="shared" si="274"/>
        <v>5149</v>
      </c>
      <c r="K842" s="201">
        <f t="shared" si="224"/>
        <v>5149</v>
      </c>
      <c r="L842" s="43"/>
      <c r="N842" s="112">
        <v>158987</v>
      </c>
      <c r="O842" s="112">
        <v>87461</v>
      </c>
      <c r="P842" s="112">
        <v>7294</v>
      </c>
      <c r="Q842" s="112"/>
      <c r="R842" s="112">
        <v>32374</v>
      </c>
      <c r="S842" s="113">
        <v>6869.4</v>
      </c>
      <c r="T842" s="113"/>
      <c r="U842" s="113"/>
      <c r="V842" s="112">
        <v>223459</v>
      </c>
      <c r="W842" s="112">
        <v>115107</v>
      </c>
      <c r="X842" s="112">
        <v>89500</v>
      </c>
      <c r="Y842" s="112">
        <v>92778</v>
      </c>
      <c r="Z842" s="112">
        <v>166007</v>
      </c>
    </row>
    <row r="843" spans="1:26" ht="18" hidden="1" customHeight="1" x14ac:dyDescent="0.2">
      <c r="A843" s="47">
        <f t="shared" si="228"/>
        <v>43694</v>
      </c>
      <c r="B843" s="56" t="s">
        <v>103</v>
      </c>
      <c r="C843" s="48">
        <f t="shared" si="302"/>
        <v>0</v>
      </c>
      <c r="D843" s="99">
        <f t="shared" si="216"/>
        <v>0</v>
      </c>
      <c r="E843" s="45">
        <f t="shared" si="217"/>
        <v>0</v>
      </c>
      <c r="F843" s="45">
        <f t="shared" si="303"/>
        <v>0</v>
      </c>
      <c r="G843" s="79">
        <f t="shared" si="304"/>
        <v>0</v>
      </c>
      <c r="H843" s="199">
        <v>2289</v>
      </c>
      <c r="I843" s="199">
        <v>763</v>
      </c>
      <c r="J843" s="200">
        <f t="shared" si="274"/>
        <v>3052</v>
      </c>
      <c r="K843" s="201">
        <f t="shared" si="224"/>
        <v>3052</v>
      </c>
      <c r="L843" s="43"/>
      <c r="N843" s="153">
        <v>158987</v>
      </c>
      <c r="O843" s="153">
        <v>87461</v>
      </c>
      <c r="P843" s="153">
        <v>7294</v>
      </c>
      <c r="Q843" s="153"/>
      <c r="R843" s="153">
        <v>32374</v>
      </c>
      <c r="S843" s="154">
        <v>6869.4</v>
      </c>
      <c r="T843" s="154"/>
      <c r="U843" s="154"/>
      <c r="V843" s="153">
        <v>223459</v>
      </c>
      <c r="W843" s="153">
        <v>115107</v>
      </c>
      <c r="X843" s="153">
        <v>89500</v>
      </c>
      <c r="Y843" s="153">
        <v>92778</v>
      </c>
      <c r="Z843" s="153">
        <v>166007</v>
      </c>
    </row>
    <row r="844" spans="1:26" ht="18" hidden="1" customHeight="1" x14ac:dyDescent="0.2">
      <c r="A844" s="47">
        <f t="shared" si="228"/>
        <v>43695</v>
      </c>
      <c r="B844" s="56" t="s">
        <v>104</v>
      </c>
      <c r="C844" s="48">
        <f t="shared" si="302"/>
        <v>3580</v>
      </c>
      <c r="D844" s="99">
        <f t="shared" si="216"/>
        <v>3728</v>
      </c>
      <c r="E844" s="45">
        <f t="shared" si="217"/>
        <v>3336.0000000000655</v>
      </c>
      <c r="F844" s="45">
        <f t="shared" si="303"/>
        <v>303</v>
      </c>
      <c r="G844" s="79">
        <f t="shared" si="304"/>
        <v>10947.000000000065</v>
      </c>
      <c r="H844" s="199">
        <v>0</v>
      </c>
      <c r="I844" s="199">
        <v>3051</v>
      </c>
      <c r="J844" s="200">
        <f t="shared" si="274"/>
        <v>3051</v>
      </c>
      <c r="K844" s="201">
        <f t="shared" si="224"/>
        <v>-7896.0000000000655</v>
      </c>
      <c r="L844" s="43"/>
      <c r="N844" s="153">
        <v>158987</v>
      </c>
      <c r="O844" s="153">
        <v>87461</v>
      </c>
      <c r="P844" s="153">
        <v>7294</v>
      </c>
      <c r="Q844" s="153"/>
      <c r="R844" s="153">
        <v>32374</v>
      </c>
      <c r="S844" s="154">
        <v>6869.4</v>
      </c>
      <c r="T844" s="154"/>
      <c r="U844" s="154"/>
      <c r="V844" s="153">
        <v>223459</v>
      </c>
      <c r="W844" s="153">
        <v>115107</v>
      </c>
      <c r="X844" s="153">
        <v>89500</v>
      </c>
      <c r="Y844" s="153">
        <v>92778</v>
      </c>
      <c r="Z844" s="153">
        <v>166007</v>
      </c>
    </row>
    <row r="845" spans="1:26" ht="18" hidden="1" customHeight="1" x14ac:dyDescent="0.2">
      <c r="A845" s="47">
        <f t="shared" si="228"/>
        <v>43696</v>
      </c>
      <c r="B845" s="47" t="s">
        <v>96</v>
      </c>
      <c r="C845" s="48">
        <f t="shared" ref="C845" si="305">(V846-V845)*1+(W846-W845)*32+(X846-X845)*12+(Y846-Y845)*6</f>
        <v>2498</v>
      </c>
      <c r="D845" s="99">
        <f t="shared" si="216"/>
        <v>1400</v>
      </c>
      <c r="E845" s="45">
        <f t="shared" si="217"/>
        <v>1246.9999999999345</v>
      </c>
      <c r="F845" s="45">
        <f t="shared" ref="F845" si="306">(Z846-Z845)*1</f>
        <v>101</v>
      </c>
      <c r="G845" s="79">
        <f t="shared" ref="G845" si="307">C845+D845+F845+E845</f>
        <v>5245.9999999999345</v>
      </c>
      <c r="H845" s="199">
        <v>4556</v>
      </c>
      <c r="I845" s="199">
        <v>881</v>
      </c>
      <c r="J845" s="200">
        <f t="shared" si="274"/>
        <v>5437</v>
      </c>
      <c r="K845" s="201">
        <f t="shared" si="224"/>
        <v>191.00000000006548</v>
      </c>
      <c r="L845" s="43"/>
      <c r="N845" s="112">
        <v>159427</v>
      </c>
      <c r="O845" s="112">
        <v>87627</v>
      </c>
      <c r="P845" s="112">
        <v>7320</v>
      </c>
      <c r="Q845" s="112"/>
      <c r="R845" s="112">
        <v>32482</v>
      </c>
      <c r="S845" s="113">
        <v>6896.3</v>
      </c>
      <c r="T845" s="113"/>
      <c r="U845" s="113"/>
      <c r="V845" s="112">
        <v>224011</v>
      </c>
      <c r="W845" s="112">
        <v>115175</v>
      </c>
      <c r="X845" s="112">
        <v>89571</v>
      </c>
      <c r="Y845" s="112">
        <v>92778</v>
      </c>
      <c r="Z845" s="112">
        <v>166310</v>
      </c>
    </row>
    <row r="846" spans="1:26" ht="18" hidden="1" customHeight="1" x14ac:dyDescent="0.2">
      <c r="A846" s="47">
        <f t="shared" si="228"/>
        <v>43697</v>
      </c>
      <c r="B846" s="47" t="s">
        <v>97</v>
      </c>
      <c r="C846" s="48">
        <f t="shared" ref="C846" si="308">(V847-V846)*1+(W847-W846)*32+(X847-X846)*12+(Y847-Y846)*6</f>
        <v>2205</v>
      </c>
      <c r="D846" s="99">
        <f t="shared" si="216"/>
        <v>1280</v>
      </c>
      <c r="E846" s="45">
        <f t="shared" si="217"/>
        <v>1141.0000000000873</v>
      </c>
      <c r="F846" s="45">
        <f t="shared" ref="F846" si="309">(Z847-Z846)*1</f>
        <v>97</v>
      </c>
      <c r="G846" s="79">
        <f t="shared" ref="G846" si="310">C846+D846+F846+E846</f>
        <v>4723.0000000000873</v>
      </c>
      <c r="H846" s="199">
        <v>4117</v>
      </c>
      <c r="I846" s="199">
        <v>847</v>
      </c>
      <c r="J846" s="200">
        <f t="shared" si="274"/>
        <v>4964</v>
      </c>
      <c r="K846" s="201">
        <f t="shared" si="224"/>
        <v>240.99999999991269</v>
      </c>
      <c r="L846" s="43"/>
      <c r="N846" s="112">
        <v>159587</v>
      </c>
      <c r="O846" s="112">
        <v>87687</v>
      </c>
      <c r="P846" s="112">
        <v>7335</v>
      </c>
      <c r="Q846" s="112"/>
      <c r="R846" s="112">
        <v>32517</v>
      </c>
      <c r="S846" s="113">
        <v>6906.4</v>
      </c>
      <c r="T846" s="113"/>
      <c r="U846" s="113"/>
      <c r="V846" s="112">
        <v>224221</v>
      </c>
      <c r="W846" s="112">
        <v>115221</v>
      </c>
      <c r="X846" s="112">
        <v>89639</v>
      </c>
      <c r="Y846" s="112">
        <v>92778</v>
      </c>
      <c r="Z846" s="112">
        <v>166411</v>
      </c>
    </row>
    <row r="847" spans="1:26" ht="18" hidden="1" customHeight="1" x14ac:dyDescent="0.2">
      <c r="A847" s="47">
        <f t="shared" si="228"/>
        <v>43698</v>
      </c>
      <c r="B847" s="47" t="s">
        <v>98</v>
      </c>
      <c r="C847" s="48">
        <f t="shared" ref="C847" si="311">(V848-V847)*1+(W848-W847)*32+(X848-X847)*12+(Y848-Y847)*6</f>
        <v>2773</v>
      </c>
      <c r="D847" s="99">
        <f t="shared" si="216"/>
        <v>1528</v>
      </c>
      <c r="E847" s="45">
        <f t="shared" si="217"/>
        <v>1024.9999999999127</v>
      </c>
      <c r="F847" s="45">
        <f t="shared" ref="F847" si="312">(Z848-Z847)*1</f>
        <v>107</v>
      </c>
      <c r="G847" s="79">
        <f t="shared" ref="G847" si="313">C847+D847+F847+E847</f>
        <v>5432.9999999999127</v>
      </c>
      <c r="H847" s="199">
        <v>4541</v>
      </c>
      <c r="I847" s="199">
        <v>821</v>
      </c>
      <c r="J847" s="200">
        <f t="shared" si="274"/>
        <v>5362</v>
      </c>
      <c r="K847" s="201">
        <f t="shared" si="224"/>
        <v>-70.999999999912689</v>
      </c>
      <c r="L847" s="43"/>
      <c r="N847" s="112">
        <v>159737</v>
      </c>
      <c r="O847" s="112">
        <v>87744</v>
      </c>
      <c r="P847" s="112">
        <v>7345</v>
      </c>
      <c r="Q847" s="112"/>
      <c r="R847" s="112">
        <v>32554</v>
      </c>
      <c r="S847" s="113">
        <v>6915.6</v>
      </c>
      <c r="T847" s="113"/>
      <c r="U847" s="113"/>
      <c r="V847" s="112">
        <v>224430</v>
      </c>
      <c r="W847" s="112">
        <v>115262</v>
      </c>
      <c r="X847" s="112">
        <v>89696</v>
      </c>
      <c r="Y847" s="112">
        <v>92778</v>
      </c>
      <c r="Z847" s="112">
        <v>166508</v>
      </c>
    </row>
    <row r="848" spans="1:26" ht="18" hidden="1" customHeight="1" x14ac:dyDescent="0.2">
      <c r="A848" s="47">
        <f t="shared" si="228"/>
        <v>43699</v>
      </c>
      <c r="B848" s="47" t="s">
        <v>99</v>
      </c>
      <c r="C848" s="48">
        <f t="shared" ref="C848" si="314">(V849-V848)*1+(W849-W848)*32+(X849-X848)*12+(Y849-Y848)*6</f>
        <v>2179</v>
      </c>
      <c r="D848" s="99">
        <f t="shared" si="216"/>
        <v>1296</v>
      </c>
      <c r="E848" s="45">
        <f t="shared" si="217"/>
        <v>1013.0000000000873</v>
      </c>
      <c r="F848" s="45">
        <f t="shared" ref="F848" si="315">(Z849-Z848)*1</f>
        <v>112</v>
      </c>
      <c r="G848" s="79">
        <f t="shared" ref="G848" si="316">C848+D848+F848+E848</f>
        <v>4600.0000000000873</v>
      </c>
      <c r="H848" s="199">
        <v>4058</v>
      </c>
      <c r="I848" s="199">
        <v>871</v>
      </c>
      <c r="J848" s="200">
        <f t="shared" si="274"/>
        <v>4929</v>
      </c>
      <c r="K848" s="201">
        <f t="shared" si="224"/>
        <v>328.99999999991269</v>
      </c>
      <c r="L848" s="43"/>
      <c r="N848" s="112">
        <v>159917</v>
      </c>
      <c r="O848" s="112">
        <v>87806</v>
      </c>
      <c r="P848" s="112">
        <v>7356</v>
      </c>
      <c r="Q848" s="112"/>
      <c r="R848" s="112">
        <v>32583</v>
      </c>
      <c r="S848" s="113">
        <v>6923.9</v>
      </c>
      <c r="T848" s="113"/>
      <c r="U848" s="113"/>
      <c r="V848" s="112">
        <v>224639</v>
      </c>
      <c r="W848" s="112">
        <v>115314</v>
      </c>
      <c r="X848" s="112">
        <v>89771</v>
      </c>
      <c r="Y848" s="112">
        <v>92778</v>
      </c>
      <c r="Z848" s="112">
        <v>166615</v>
      </c>
    </row>
    <row r="849" spans="1:26" ht="18" hidden="1" customHeight="1" x14ac:dyDescent="0.2">
      <c r="A849" s="47">
        <f t="shared" si="228"/>
        <v>43700</v>
      </c>
      <c r="B849" s="47" t="s">
        <v>100</v>
      </c>
      <c r="C849" s="48">
        <f t="shared" ref="C849:C851" si="317">(V850-V849)*1+(W850-W849)*32+(X850-X849)*12+(Y850-Y849)*6</f>
        <v>0</v>
      </c>
      <c r="D849" s="99">
        <f t="shared" si="216"/>
        <v>0</v>
      </c>
      <c r="E849" s="45">
        <f t="shared" si="217"/>
        <v>0</v>
      </c>
      <c r="F849" s="45">
        <f t="shared" ref="F849:F851" si="318">(Z850-Z849)*1</f>
        <v>0</v>
      </c>
      <c r="G849" s="79">
        <f t="shared" ref="G849:G851" si="319">C849+D849+F849+E849</f>
        <v>0</v>
      </c>
      <c r="H849" s="199">
        <v>3731</v>
      </c>
      <c r="I849" s="199">
        <v>815</v>
      </c>
      <c r="J849" s="200">
        <f t="shared" si="274"/>
        <v>4546</v>
      </c>
      <c r="K849" s="201">
        <f t="shared" si="224"/>
        <v>4546</v>
      </c>
      <c r="L849" s="43"/>
      <c r="N849" s="112">
        <v>160067</v>
      </c>
      <c r="O849" s="112">
        <v>87863</v>
      </c>
      <c r="P849" s="112">
        <v>7368</v>
      </c>
      <c r="Q849" s="112"/>
      <c r="R849" s="112">
        <v>32612</v>
      </c>
      <c r="S849" s="113">
        <v>6932.1</v>
      </c>
      <c r="T849" s="113"/>
      <c r="U849" s="113"/>
      <c r="V849" s="112">
        <v>224862</v>
      </c>
      <c r="W849" s="112">
        <v>115356</v>
      </c>
      <c r="X849" s="112">
        <v>89822</v>
      </c>
      <c r="Y849" s="112">
        <v>92778</v>
      </c>
      <c r="Z849" s="112">
        <v>166727</v>
      </c>
    </row>
    <row r="850" spans="1:26" ht="18" hidden="1" customHeight="1" x14ac:dyDescent="0.2">
      <c r="A850" s="47">
        <f t="shared" si="228"/>
        <v>43701</v>
      </c>
      <c r="B850" s="56" t="s">
        <v>103</v>
      </c>
      <c r="C850" s="48">
        <f t="shared" si="317"/>
        <v>0</v>
      </c>
      <c r="D850" s="99">
        <f t="shared" si="216"/>
        <v>0</v>
      </c>
      <c r="E850" s="45">
        <f t="shared" si="217"/>
        <v>0</v>
      </c>
      <c r="F850" s="45">
        <f t="shared" si="318"/>
        <v>0</v>
      </c>
      <c r="G850" s="79">
        <f t="shared" si="319"/>
        <v>0</v>
      </c>
      <c r="H850" s="199">
        <v>0</v>
      </c>
      <c r="I850" s="199">
        <v>2830</v>
      </c>
      <c r="J850" s="200">
        <f t="shared" si="274"/>
        <v>2830</v>
      </c>
      <c r="K850" s="201">
        <f t="shared" si="224"/>
        <v>2830</v>
      </c>
      <c r="L850" s="43"/>
      <c r="N850" s="153">
        <v>160067</v>
      </c>
      <c r="O850" s="153">
        <v>87863</v>
      </c>
      <c r="P850" s="153">
        <v>7368</v>
      </c>
      <c r="Q850" s="153"/>
      <c r="R850" s="153">
        <v>32612</v>
      </c>
      <c r="S850" s="154">
        <v>6932.1</v>
      </c>
      <c r="T850" s="154"/>
      <c r="U850" s="154"/>
      <c r="V850" s="153">
        <v>224862</v>
      </c>
      <c r="W850" s="153">
        <v>115356</v>
      </c>
      <c r="X850" s="153">
        <v>89822</v>
      </c>
      <c r="Y850" s="153">
        <v>92778</v>
      </c>
      <c r="Z850" s="153">
        <v>166727</v>
      </c>
    </row>
    <row r="851" spans="1:26" ht="18" hidden="1" customHeight="1" x14ac:dyDescent="0.2">
      <c r="A851" s="47">
        <f t="shared" si="228"/>
        <v>43702</v>
      </c>
      <c r="B851" s="56" t="s">
        <v>104</v>
      </c>
      <c r="C851" s="48">
        <f t="shared" si="317"/>
        <v>3074</v>
      </c>
      <c r="D851" s="99">
        <f t="shared" si="216"/>
        <v>3456</v>
      </c>
      <c r="E851" s="45">
        <f t="shared" si="217"/>
        <v>3267</v>
      </c>
      <c r="F851" s="45">
        <f t="shared" si="318"/>
        <v>222</v>
      </c>
      <c r="G851" s="79">
        <f t="shared" si="319"/>
        <v>10019</v>
      </c>
      <c r="H851" s="199">
        <v>0</v>
      </c>
      <c r="I851" s="199">
        <v>2948</v>
      </c>
      <c r="J851" s="200">
        <f t="shared" si="274"/>
        <v>2948</v>
      </c>
      <c r="K851" s="201">
        <f t="shared" si="224"/>
        <v>-7071</v>
      </c>
      <c r="L851" s="43"/>
      <c r="N851" s="153">
        <v>160067</v>
      </c>
      <c r="O851" s="153">
        <v>87863</v>
      </c>
      <c r="P851" s="153">
        <v>7368</v>
      </c>
      <c r="Q851" s="153"/>
      <c r="R851" s="153">
        <v>32612</v>
      </c>
      <c r="S851" s="154">
        <v>6932.1</v>
      </c>
      <c r="T851" s="154"/>
      <c r="U851" s="154"/>
      <c r="V851" s="153">
        <v>224862</v>
      </c>
      <c r="W851" s="153">
        <v>115356</v>
      </c>
      <c r="X851" s="153">
        <v>89822</v>
      </c>
      <c r="Y851" s="153">
        <v>92778</v>
      </c>
      <c r="Z851" s="153">
        <v>166727</v>
      </c>
    </row>
    <row r="852" spans="1:26" ht="18" hidden="1" customHeight="1" x14ac:dyDescent="0.2">
      <c r="A852" s="47">
        <f t="shared" si="228"/>
        <v>43703</v>
      </c>
      <c r="B852" s="47" t="s">
        <v>96</v>
      </c>
      <c r="C852" s="48">
        <f t="shared" ref="C852" si="320">(V853-V852)*1+(W853-W852)*32+(X853-X852)*12+(Y853-Y852)*6</f>
        <v>2476</v>
      </c>
      <c r="D852" s="99">
        <f t="shared" si="216"/>
        <v>1304</v>
      </c>
      <c r="E852" s="45">
        <f t="shared" si="217"/>
        <v>1110</v>
      </c>
      <c r="F852" s="45">
        <f t="shared" ref="F852" si="321">(Z853-Z852)*1</f>
        <v>73</v>
      </c>
      <c r="G852" s="79">
        <f t="shared" ref="G852" si="322">C852+D852+F852+E852</f>
        <v>4963</v>
      </c>
      <c r="H852" s="199">
        <v>4296</v>
      </c>
      <c r="I852" s="199">
        <v>823</v>
      </c>
      <c r="J852" s="200">
        <f t="shared" si="274"/>
        <v>5119</v>
      </c>
      <c r="K852" s="201">
        <f t="shared" si="224"/>
        <v>156</v>
      </c>
      <c r="L852" s="43"/>
      <c r="N852" s="112">
        <v>160477</v>
      </c>
      <c r="O852" s="112">
        <v>88022</v>
      </c>
      <c r="P852" s="112">
        <v>7390</v>
      </c>
      <c r="Q852" s="112"/>
      <c r="R852" s="112">
        <v>32699</v>
      </c>
      <c r="S852" s="113">
        <v>6958.6</v>
      </c>
      <c r="T852" s="113"/>
      <c r="U852" s="113"/>
      <c r="V852" s="112">
        <v>225332</v>
      </c>
      <c r="W852" s="112">
        <v>115419</v>
      </c>
      <c r="X852" s="112">
        <v>89871</v>
      </c>
      <c r="Y852" s="112">
        <v>92778</v>
      </c>
      <c r="Z852" s="112">
        <v>166949</v>
      </c>
    </row>
    <row r="853" spans="1:26" ht="18" hidden="1" customHeight="1" x14ac:dyDescent="0.2">
      <c r="A853" s="47">
        <f t="shared" si="228"/>
        <v>43704</v>
      </c>
      <c r="B853" s="47" t="s">
        <v>97</v>
      </c>
      <c r="C853" s="48">
        <f t="shared" ref="C853" si="323">(V854-V853)*1+(W854-W853)*32+(X854-X853)*12+(Y854-Y853)*6</f>
        <v>2276</v>
      </c>
      <c r="D853" s="99">
        <f t="shared" ref="D853:D916" si="324">(N854-N853)*8+(P854-P853)*8</f>
        <v>1280</v>
      </c>
      <c r="E853" s="45">
        <f t="shared" ref="E853:E916" si="325">(R854-R853)*1+(S854-S853)*120</f>
        <v>939.99999999993452</v>
      </c>
      <c r="F853" s="45">
        <f t="shared" ref="F853" si="326">(Z854-Z853)*1</f>
        <v>75</v>
      </c>
      <c r="G853" s="79">
        <f t="shared" ref="G853" si="327">C853+D853+F853+E853</f>
        <v>4570.9999999999345</v>
      </c>
      <c r="H853" s="199">
        <v>3914</v>
      </c>
      <c r="I853" s="199">
        <v>841</v>
      </c>
      <c r="J853" s="200">
        <f t="shared" si="274"/>
        <v>4755</v>
      </c>
      <c r="K853" s="201">
        <f t="shared" si="224"/>
        <v>184.00000000006548</v>
      </c>
      <c r="L853" s="43"/>
      <c r="N853" s="112">
        <v>160627</v>
      </c>
      <c r="O853" s="112">
        <v>88081</v>
      </c>
      <c r="P853" s="112">
        <v>7403</v>
      </c>
      <c r="Q853" s="112"/>
      <c r="R853" s="112">
        <v>32729</v>
      </c>
      <c r="S853" s="113">
        <v>6967.6</v>
      </c>
      <c r="T853" s="113"/>
      <c r="U853" s="113"/>
      <c r="V853" s="112">
        <v>225568</v>
      </c>
      <c r="W853" s="112">
        <v>115465</v>
      </c>
      <c r="X853" s="112">
        <v>89935</v>
      </c>
      <c r="Y853" s="112">
        <v>92778</v>
      </c>
      <c r="Z853" s="112">
        <v>167022</v>
      </c>
    </row>
    <row r="854" spans="1:26" ht="18" hidden="1" customHeight="1" x14ac:dyDescent="0.2">
      <c r="A854" s="47">
        <f t="shared" si="228"/>
        <v>43705</v>
      </c>
      <c r="B854" s="47" t="s">
        <v>98</v>
      </c>
      <c r="C854" s="48">
        <f t="shared" ref="C854" si="328">(V855-V854)*1+(W855-W854)*32+(X855-X854)*12+(Y855-Y854)*6</f>
        <v>2283</v>
      </c>
      <c r="D854" s="99">
        <f t="shared" si="324"/>
        <v>1304</v>
      </c>
      <c r="E854" s="45">
        <f t="shared" si="325"/>
        <v>965.00000000002183</v>
      </c>
      <c r="F854" s="45">
        <f t="shared" ref="F854" si="329">(Z855-Z854)*1</f>
        <v>88</v>
      </c>
      <c r="G854" s="79">
        <f t="shared" ref="G854" si="330">C854+D854+F854+E854</f>
        <v>4640.0000000000218</v>
      </c>
      <c r="H854" s="199">
        <v>3966</v>
      </c>
      <c r="I854" s="199">
        <v>827</v>
      </c>
      <c r="J854" s="200">
        <f t="shared" si="274"/>
        <v>4793</v>
      </c>
      <c r="K854" s="201">
        <f t="shared" si="224"/>
        <v>152.99999999997817</v>
      </c>
      <c r="L854" s="43"/>
      <c r="N854" s="112">
        <v>160777</v>
      </c>
      <c r="O854" s="112">
        <v>88138</v>
      </c>
      <c r="P854" s="112">
        <v>7413</v>
      </c>
      <c r="Q854" s="112"/>
      <c r="R854" s="112">
        <v>32757</v>
      </c>
      <c r="S854" s="113">
        <v>6975.2</v>
      </c>
      <c r="T854" s="113"/>
      <c r="U854" s="113"/>
      <c r="V854" s="112">
        <v>225800</v>
      </c>
      <c r="W854" s="112">
        <v>115509</v>
      </c>
      <c r="X854" s="112">
        <v>89988</v>
      </c>
      <c r="Y854" s="112">
        <v>92778</v>
      </c>
      <c r="Z854" s="112">
        <v>167097</v>
      </c>
    </row>
    <row r="855" spans="1:26" ht="18" hidden="1" customHeight="1" x14ac:dyDescent="0.2">
      <c r="A855" s="47">
        <f t="shared" si="228"/>
        <v>43706</v>
      </c>
      <c r="B855" s="47" t="s">
        <v>99</v>
      </c>
      <c r="C855" s="48">
        <f t="shared" ref="C855" si="331">(V856-V855)*1+(W856-W855)*32+(X856-X855)*12+(Y856-Y855)*6</f>
        <v>2157</v>
      </c>
      <c r="D855" s="99">
        <f t="shared" si="324"/>
        <v>1440</v>
      </c>
      <c r="E855" s="45">
        <f t="shared" si="325"/>
        <v>1671.9999999999782</v>
      </c>
      <c r="F855" s="45">
        <f t="shared" ref="F855" si="332">(Z856-Z855)*1</f>
        <v>92</v>
      </c>
      <c r="G855" s="79">
        <f t="shared" ref="G855" si="333">C855+D855+F855+E855</f>
        <v>5360.9999999999782</v>
      </c>
      <c r="H855" s="199">
        <v>3861</v>
      </c>
      <c r="I855" s="199">
        <v>837</v>
      </c>
      <c r="J855" s="200">
        <f t="shared" si="274"/>
        <v>4698</v>
      </c>
      <c r="K855" s="201">
        <f t="shared" si="224"/>
        <v>-662.99999999997817</v>
      </c>
      <c r="L855" s="43"/>
      <c r="N855" s="112">
        <v>160927</v>
      </c>
      <c r="O855" s="112">
        <v>88194</v>
      </c>
      <c r="P855" s="112">
        <v>7426</v>
      </c>
      <c r="Q855" s="112"/>
      <c r="R855" s="112">
        <v>32786</v>
      </c>
      <c r="S855" s="113">
        <v>6983</v>
      </c>
      <c r="T855" s="113"/>
      <c r="U855" s="113"/>
      <c r="V855" s="112">
        <v>226047</v>
      </c>
      <c r="W855" s="112">
        <v>115552</v>
      </c>
      <c r="X855" s="112">
        <v>90043</v>
      </c>
      <c r="Y855" s="112">
        <v>92778</v>
      </c>
      <c r="Z855" s="112">
        <v>167185</v>
      </c>
    </row>
    <row r="856" spans="1:26" ht="18" hidden="1" customHeight="1" x14ac:dyDescent="0.2">
      <c r="A856" s="47">
        <f t="shared" si="228"/>
        <v>43707</v>
      </c>
      <c r="B856" s="47" t="s">
        <v>100</v>
      </c>
      <c r="C856" s="48">
        <f t="shared" ref="C856:C858" si="334">(V857-V856)*1+(W857-W856)*32+(X857-X856)*12+(Y857-Y856)*6</f>
        <v>0</v>
      </c>
      <c r="D856" s="99">
        <f t="shared" si="324"/>
        <v>0</v>
      </c>
      <c r="E856" s="45">
        <f t="shared" si="325"/>
        <v>0</v>
      </c>
      <c r="F856" s="45">
        <f t="shared" ref="F856:F858" si="335">(Z857-Z856)*1</f>
        <v>0</v>
      </c>
      <c r="G856" s="79">
        <f t="shared" ref="G856:G858" si="336">C856+D856+F856+E856</f>
        <v>0</v>
      </c>
      <c r="H856" s="199">
        <v>4204</v>
      </c>
      <c r="I856" s="199">
        <v>885</v>
      </c>
      <c r="J856" s="200">
        <f t="shared" si="274"/>
        <v>5089</v>
      </c>
      <c r="K856" s="201">
        <f t="shared" si="224"/>
        <v>5089</v>
      </c>
      <c r="L856" s="43"/>
      <c r="N856" s="112">
        <v>161097</v>
      </c>
      <c r="O856" s="112">
        <v>88257</v>
      </c>
      <c r="P856" s="112">
        <v>7436</v>
      </c>
      <c r="Q856" s="112"/>
      <c r="R856" s="112">
        <v>32814</v>
      </c>
      <c r="S856" s="113">
        <v>6996.7</v>
      </c>
      <c r="T856" s="113"/>
      <c r="U856" s="113"/>
      <c r="V856" s="112">
        <v>226284</v>
      </c>
      <c r="W856" s="112">
        <v>115594</v>
      </c>
      <c r="X856" s="112">
        <v>90091</v>
      </c>
      <c r="Y856" s="112">
        <v>92778</v>
      </c>
      <c r="Z856" s="112">
        <v>167277</v>
      </c>
    </row>
    <row r="857" spans="1:26" ht="18" hidden="1" customHeight="1" x14ac:dyDescent="0.2">
      <c r="A857" s="47">
        <f t="shared" si="228"/>
        <v>43708</v>
      </c>
      <c r="B857" s="56" t="s">
        <v>103</v>
      </c>
      <c r="C857" s="48">
        <f t="shared" si="334"/>
        <v>0</v>
      </c>
      <c r="D857" s="99">
        <f t="shared" si="324"/>
        <v>0</v>
      </c>
      <c r="E857" s="45">
        <f t="shared" si="325"/>
        <v>0</v>
      </c>
      <c r="F857" s="45">
        <f t="shared" si="335"/>
        <v>0</v>
      </c>
      <c r="G857" s="79">
        <f t="shared" si="336"/>
        <v>0</v>
      </c>
      <c r="H857" s="199">
        <v>0</v>
      </c>
      <c r="I857" s="199">
        <v>2806</v>
      </c>
      <c r="J857" s="200">
        <f t="shared" si="274"/>
        <v>2806</v>
      </c>
      <c r="K857" s="201">
        <f t="shared" si="224"/>
        <v>2806</v>
      </c>
      <c r="L857" s="43"/>
      <c r="N857" s="153">
        <v>161097</v>
      </c>
      <c r="O857" s="153">
        <v>88257</v>
      </c>
      <c r="P857" s="153">
        <v>7436</v>
      </c>
      <c r="Q857" s="153"/>
      <c r="R857" s="153">
        <v>32814</v>
      </c>
      <c r="S857" s="154">
        <v>6996.7</v>
      </c>
      <c r="T857" s="154"/>
      <c r="U857" s="154"/>
      <c r="V857" s="153">
        <v>226284</v>
      </c>
      <c r="W857" s="153">
        <v>115594</v>
      </c>
      <c r="X857" s="153">
        <v>90091</v>
      </c>
      <c r="Y857" s="153">
        <v>92778</v>
      </c>
      <c r="Z857" s="153">
        <v>167277</v>
      </c>
    </row>
    <row r="858" spans="1:26" ht="18" hidden="1" customHeight="1" x14ac:dyDescent="0.2">
      <c r="A858" s="47">
        <f t="shared" si="228"/>
        <v>43709</v>
      </c>
      <c r="B858" s="56" t="s">
        <v>104</v>
      </c>
      <c r="C858" s="48">
        <f t="shared" si="334"/>
        <v>3616</v>
      </c>
      <c r="D858" s="99">
        <f t="shared" si="324"/>
        <v>3584</v>
      </c>
      <c r="E858" s="45">
        <f t="shared" si="325"/>
        <v>2292.0000000000655</v>
      </c>
      <c r="F858" s="45">
        <f t="shared" si="335"/>
        <v>242</v>
      </c>
      <c r="G858" s="79">
        <f t="shared" si="336"/>
        <v>9734.0000000000655</v>
      </c>
      <c r="H858" s="199">
        <v>0</v>
      </c>
      <c r="I858" s="199">
        <v>2932</v>
      </c>
      <c r="J858" s="200">
        <f t="shared" ref="J858:J887" si="337">H858+I858</f>
        <v>2932</v>
      </c>
      <c r="K858" s="201">
        <f t="shared" ref="K858:K887" si="338">J858-G858</f>
        <v>-6802.0000000000655</v>
      </c>
      <c r="L858" s="43"/>
      <c r="N858" s="153">
        <v>161097</v>
      </c>
      <c r="O858" s="153">
        <v>88257</v>
      </c>
      <c r="P858" s="153">
        <v>7436</v>
      </c>
      <c r="Q858" s="153"/>
      <c r="R858" s="153">
        <v>32814</v>
      </c>
      <c r="S858" s="154">
        <v>6996.7</v>
      </c>
      <c r="T858" s="154"/>
      <c r="U858" s="154"/>
      <c r="V858" s="153">
        <v>226284</v>
      </c>
      <c r="W858" s="153">
        <v>115594</v>
      </c>
      <c r="X858" s="153">
        <v>90091</v>
      </c>
      <c r="Y858" s="153">
        <v>92778</v>
      </c>
      <c r="Z858" s="153">
        <v>167277</v>
      </c>
    </row>
    <row r="859" spans="1:26" ht="18" hidden="1" customHeight="1" x14ac:dyDescent="0.2">
      <c r="A859" s="47">
        <f t="shared" si="228"/>
        <v>43710</v>
      </c>
      <c r="B859" s="47" t="s">
        <v>96</v>
      </c>
      <c r="C859" s="48">
        <f t="shared" ref="C859" si="339">(V860-V859)*1+(W860-W859)*32+(X860-X859)*12+(Y860-Y859)*6</f>
        <v>2434</v>
      </c>
      <c r="D859" s="99">
        <f t="shared" si="324"/>
        <v>1368</v>
      </c>
      <c r="E859" s="45">
        <f t="shared" si="325"/>
        <v>1182.9999999999345</v>
      </c>
      <c r="F859" s="45">
        <f t="shared" ref="F859" si="340">(Z860-Z859)*1</f>
        <v>91</v>
      </c>
      <c r="G859" s="79">
        <f t="shared" ref="G859" si="341">C859+D859+F859+E859</f>
        <v>5075.9999999999345</v>
      </c>
      <c r="H859" s="199">
        <v>910</v>
      </c>
      <c r="I859" s="199">
        <v>4265</v>
      </c>
      <c r="J859" s="200">
        <f t="shared" si="337"/>
        <v>5175</v>
      </c>
      <c r="K859" s="201">
        <f t="shared" si="338"/>
        <v>99.000000000065484</v>
      </c>
      <c r="L859" s="43"/>
      <c r="N859" s="112">
        <v>161517</v>
      </c>
      <c r="O859" s="112">
        <v>88416</v>
      </c>
      <c r="P859" s="112">
        <v>7464</v>
      </c>
      <c r="Q859" s="112"/>
      <c r="R859" s="112">
        <v>32898</v>
      </c>
      <c r="S859" s="113">
        <v>7015.1</v>
      </c>
      <c r="T859" s="113"/>
      <c r="U859" s="113"/>
      <c r="V859" s="112">
        <v>226812</v>
      </c>
      <c r="W859" s="112">
        <v>115665</v>
      </c>
      <c r="X859" s="112">
        <v>90159</v>
      </c>
      <c r="Y859" s="112">
        <v>92778</v>
      </c>
      <c r="Z859" s="112">
        <v>167519</v>
      </c>
    </row>
    <row r="860" spans="1:26" ht="18" hidden="1" customHeight="1" x14ac:dyDescent="0.2">
      <c r="A860" s="47">
        <f t="shared" si="228"/>
        <v>43711</v>
      </c>
      <c r="B860" s="47" t="s">
        <v>97</v>
      </c>
      <c r="C860" s="48">
        <f t="shared" ref="C860" si="342">(V861-V860)*1+(W861-W860)*32+(X861-X860)*12+(Y861-Y860)*6</f>
        <v>2367</v>
      </c>
      <c r="D860" s="99">
        <f t="shared" si="324"/>
        <v>1384</v>
      </c>
      <c r="E860" s="45">
        <f t="shared" si="325"/>
        <v>949.99999999997817</v>
      </c>
      <c r="F860" s="45">
        <f t="shared" ref="F860" si="343">(Z861-Z860)*1</f>
        <v>68</v>
      </c>
      <c r="G860" s="79">
        <f t="shared" ref="G860" si="344">C860+D860+F860+E860</f>
        <v>4768.9999999999782</v>
      </c>
      <c r="H860" s="199">
        <v>929</v>
      </c>
      <c r="I860" s="199">
        <v>4110</v>
      </c>
      <c r="J860" s="200">
        <f t="shared" si="337"/>
        <v>5039</v>
      </c>
      <c r="K860" s="201">
        <f t="shared" si="338"/>
        <v>270.00000000002183</v>
      </c>
      <c r="L860" s="43"/>
      <c r="N860" s="112">
        <v>161677</v>
      </c>
      <c r="O860" s="112">
        <v>88482</v>
      </c>
      <c r="P860" s="112">
        <v>7475</v>
      </c>
      <c r="Q860" s="112"/>
      <c r="R860" s="112">
        <v>32929</v>
      </c>
      <c r="S860" s="113">
        <v>7024.7</v>
      </c>
      <c r="T860" s="113"/>
      <c r="U860" s="113"/>
      <c r="V860" s="112">
        <v>227050</v>
      </c>
      <c r="W860" s="112">
        <v>115710</v>
      </c>
      <c r="X860" s="112">
        <v>90222</v>
      </c>
      <c r="Y860" s="112">
        <v>92778</v>
      </c>
      <c r="Z860" s="112">
        <v>167610</v>
      </c>
    </row>
    <row r="861" spans="1:26" ht="18" hidden="1" customHeight="1" x14ac:dyDescent="0.2">
      <c r="A861" s="47">
        <f t="shared" si="228"/>
        <v>43712</v>
      </c>
      <c r="B861" s="47" t="s">
        <v>98</v>
      </c>
      <c r="C861" s="48">
        <f t="shared" ref="C861" si="345">(V862-V861)*1+(W862-W861)*32+(X862-X861)*12+(Y862-Y861)*6</f>
        <v>2550</v>
      </c>
      <c r="D861" s="99">
        <f t="shared" si="324"/>
        <v>1544</v>
      </c>
      <c r="E861" s="45">
        <f t="shared" si="325"/>
        <v>1035.0000000000655</v>
      </c>
      <c r="F861" s="45">
        <f t="shared" ref="F861" si="346">(Z862-Z861)*1</f>
        <v>77</v>
      </c>
      <c r="G861" s="79">
        <f t="shared" ref="G861" si="347">C861+D861+F861+E861</f>
        <v>5206.0000000000655</v>
      </c>
      <c r="H861" s="199">
        <v>908</v>
      </c>
      <c r="I861" s="199">
        <v>4245</v>
      </c>
      <c r="J861" s="200">
        <f t="shared" si="337"/>
        <v>5153</v>
      </c>
      <c r="K861" s="201">
        <f t="shared" si="338"/>
        <v>-53.000000000065484</v>
      </c>
      <c r="L861" s="43"/>
      <c r="N861" s="112">
        <v>161837</v>
      </c>
      <c r="O861" s="112">
        <v>88542</v>
      </c>
      <c r="P861" s="112">
        <v>7488</v>
      </c>
      <c r="Q861" s="112"/>
      <c r="R861" s="112">
        <v>32955</v>
      </c>
      <c r="S861" s="113">
        <v>7032.4</v>
      </c>
      <c r="T861" s="113"/>
      <c r="U861" s="113"/>
      <c r="V861" s="112">
        <v>227265</v>
      </c>
      <c r="W861" s="112">
        <v>115754</v>
      </c>
      <c r="X861" s="112">
        <v>90284</v>
      </c>
      <c r="Y861" s="112">
        <v>92778</v>
      </c>
      <c r="Z861" s="112">
        <v>167678</v>
      </c>
    </row>
    <row r="862" spans="1:26" ht="18" hidden="1" customHeight="1" x14ac:dyDescent="0.2">
      <c r="A862" s="47">
        <f t="shared" si="228"/>
        <v>43713</v>
      </c>
      <c r="B862" s="47" t="s">
        <v>99</v>
      </c>
      <c r="C862" s="48">
        <f t="shared" ref="C862" si="348">(V863-V862)*1+(W863-W862)*32+(X863-X862)*12+(Y863-Y862)*6</f>
        <v>2342</v>
      </c>
      <c r="D862" s="99">
        <f t="shared" si="324"/>
        <v>1296</v>
      </c>
      <c r="E862" s="45">
        <f t="shared" si="325"/>
        <v>940.99999999993452</v>
      </c>
      <c r="F862" s="45">
        <f t="shared" ref="F862" si="349">(Z863-Z862)*1</f>
        <v>71</v>
      </c>
      <c r="G862" s="79">
        <f t="shared" ref="G862" si="350">C862+D862+F862+E862</f>
        <v>4649.9999999999345</v>
      </c>
      <c r="H862" s="199">
        <v>900</v>
      </c>
      <c r="I862" s="199">
        <v>4113</v>
      </c>
      <c r="J862" s="200">
        <f t="shared" si="337"/>
        <v>5013</v>
      </c>
      <c r="K862" s="201">
        <f t="shared" si="338"/>
        <v>363.00000000006548</v>
      </c>
      <c r="L862" s="43"/>
      <c r="N862" s="112">
        <v>162017</v>
      </c>
      <c r="O862" s="112">
        <v>88607</v>
      </c>
      <c r="P862" s="112">
        <v>7501</v>
      </c>
      <c r="Q862" s="112"/>
      <c r="R862" s="112">
        <v>32982</v>
      </c>
      <c r="S862" s="113">
        <v>7040.8</v>
      </c>
      <c r="T862" s="113"/>
      <c r="U862" s="113"/>
      <c r="V862" s="112">
        <v>227467</v>
      </c>
      <c r="W862" s="112">
        <v>115800</v>
      </c>
      <c r="X862" s="112">
        <v>90357</v>
      </c>
      <c r="Y862" s="112">
        <v>92778</v>
      </c>
      <c r="Z862" s="112">
        <v>167755</v>
      </c>
    </row>
    <row r="863" spans="1:26" ht="18" hidden="1" customHeight="1" x14ac:dyDescent="0.2">
      <c r="A863" s="47">
        <f t="shared" si="228"/>
        <v>43714</v>
      </c>
      <c r="B863" s="47" t="s">
        <v>100</v>
      </c>
      <c r="C863" s="48">
        <f t="shared" ref="C863:C865" si="351">(V864-V863)*1+(W864-W863)*32+(X864-X863)*12+(Y864-Y863)*6</f>
        <v>0</v>
      </c>
      <c r="D863" s="99">
        <f t="shared" si="324"/>
        <v>0</v>
      </c>
      <c r="E863" s="45">
        <f t="shared" si="325"/>
        <v>0</v>
      </c>
      <c r="F863" s="45">
        <f t="shared" ref="F863:F865" si="352">(Z864-Z863)*1</f>
        <v>0</v>
      </c>
      <c r="G863" s="79">
        <f t="shared" ref="G863:G865" si="353">C863+D863+F863+E863</f>
        <v>0</v>
      </c>
      <c r="H863" s="199">
        <v>842</v>
      </c>
      <c r="I863" s="199">
        <v>3764</v>
      </c>
      <c r="J863" s="200">
        <f t="shared" si="337"/>
        <v>4606</v>
      </c>
      <c r="K863" s="201">
        <f t="shared" si="338"/>
        <v>4606</v>
      </c>
      <c r="L863" s="43"/>
      <c r="N863" s="112">
        <v>162167</v>
      </c>
      <c r="O863" s="112">
        <v>88666</v>
      </c>
      <c r="P863" s="112">
        <v>7513</v>
      </c>
      <c r="Q863" s="112"/>
      <c r="R863" s="112">
        <v>33011</v>
      </c>
      <c r="S863" s="113">
        <v>7048.4</v>
      </c>
      <c r="T863" s="113"/>
      <c r="U863" s="113"/>
      <c r="V863" s="112">
        <v>227665</v>
      </c>
      <c r="W863" s="112">
        <v>115846</v>
      </c>
      <c r="X863" s="112">
        <v>90413</v>
      </c>
      <c r="Y863" s="112">
        <v>92778</v>
      </c>
      <c r="Z863" s="112">
        <v>167826</v>
      </c>
    </row>
    <row r="864" spans="1:26" ht="18" hidden="1" customHeight="1" x14ac:dyDescent="0.2">
      <c r="A864" s="47">
        <f t="shared" si="228"/>
        <v>43715</v>
      </c>
      <c r="B864" s="56" t="s">
        <v>103</v>
      </c>
      <c r="C864" s="48">
        <f t="shared" si="351"/>
        <v>0</v>
      </c>
      <c r="D864" s="99">
        <f t="shared" si="324"/>
        <v>0</v>
      </c>
      <c r="E864" s="45">
        <f t="shared" si="325"/>
        <v>0</v>
      </c>
      <c r="F864" s="45">
        <f t="shared" si="352"/>
        <v>0</v>
      </c>
      <c r="G864" s="79">
        <f t="shared" si="353"/>
        <v>0</v>
      </c>
      <c r="H864" s="199">
        <v>0</v>
      </c>
      <c r="I864" s="199">
        <v>2764</v>
      </c>
      <c r="J864" s="200">
        <f t="shared" si="337"/>
        <v>2764</v>
      </c>
      <c r="K864" s="201">
        <f t="shared" si="338"/>
        <v>2764</v>
      </c>
      <c r="L864" s="43"/>
      <c r="N864" s="153">
        <v>162167</v>
      </c>
      <c r="O864" s="153">
        <v>88666</v>
      </c>
      <c r="P864" s="153">
        <v>7513</v>
      </c>
      <c r="Q864" s="153"/>
      <c r="R864" s="153">
        <v>33011</v>
      </c>
      <c r="S864" s="154">
        <v>7048.4</v>
      </c>
      <c r="T864" s="154"/>
      <c r="U864" s="154"/>
      <c r="V864" s="153">
        <v>227665</v>
      </c>
      <c r="W864" s="153">
        <v>115846</v>
      </c>
      <c r="X864" s="153">
        <v>90413</v>
      </c>
      <c r="Y864" s="153">
        <v>92778</v>
      </c>
      <c r="Z864" s="153">
        <v>167826</v>
      </c>
    </row>
    <row r="865" spans="1:26" ht="18" hidden="1" customHeight="1" x14ac:dyDescent="0.2">
      <c r="A865" s="47">
        <f t="shared" si="228"/>
        <v>43716</v>
      </c>
      <c r="B865" s="56" t="s">
        <v>104</v>
      </c>
      <c r="C865" s="48">
        <f t="shared" si="351"/>
        <v>3247</v>
      </c>
      <c r="D865" s="99">
        <f t="shared" si="324"/>
        <v>3456</v>
      </c>
      <c r="E865" s="45">
        <f t="shared" si="325"/>
        <v>2882.0000000000218</v>
      </c>
      <c r="F865" s="45">
        <f t="shared" si="352"/>
        <v>173</v>
      </c>
      <c r="G865" s="79">
        <f t="shared" si="353"/>
        <v>9758.0000000000218</v>
      </c>
      <c r="H865" s="199">
        <v>0</v>
      </c>
      <c r="I865" s="199">
        <v>2802</v>
      </c>
      <c r="J865" s="200">
        <f t="shared" si="337"/>
        <v>2802</v>
      </c>
      <c r="K865" s="201">
        <f t="shared" si="338"/>
        <v>-6956.0000000000218</v>
      </c>
      <c r="L865" s="43"/>
      <c r="N865" s="153">
        <v>162167</v>
      </c>
      <c r="O865" s="153">
        <v>88666</v>
      </c>
      <c r="P865" s="153">
        <v>7513</v>
      </c>
      <c r="Q865" s="153"/>
      <c r="R865" s="153">
        <v>33011</v>
      </c>
      <c r="S865" s="154">
        <v>7048.4</v>
      </c>
      <c r="T865" s="154"/>
      <c r="U865" s="154"/>
      <c r="V865" s="153">
        <v>227665</v>
      </c>
      <c r="W865" s="153">
        <v>115846</v>
      </c>
      <c r="X865" s="153">
        <v>90413</v>
      </c>
      <c r="Y865" s="153">
        <v>92778</v>
      </c>
      <c r="Z865" s="153">
        <v>167826</v>
      </c>
    </row>
    <row r="866" spans="1:26" ht="18" hidden="1" customHeight="1" x14ac:dyDescent="0.2">
      <c r="A866" s="47">
        <f t="shared" si="228"/>
        <v>43717</v>
      </c>
      <c r="B866" s="47" t="s">
        <v>96</v>
      </c>
      <c r="C866" s="48">
        <f t="shared" ref="C866" si="354">(V867-V866)*1+(W867-W866)*32+(X867-X866)*12+(Y867-Y866)*6</f>
        <v>2638</v>
      </c>
      <c r="D866" s="99">
        <f t="shared" si="324"/>
        <v>1376</v>
      </c>
      <c r="E866" s="45">
        <f t="shared" si="325"/>
        <v>1242.0000000000437</v>
      </c>
      <c r="F866" s="45">
        <f t="shared" ref="F866" si="355">(Z867-Z866)*1</f>
        <v>74</v>
      </c>
      <c r="G866" s="79">
        <f t="shared" ref="G866" si="356">C866+D866+F866+E866</f>
        <v>5330.0000000000437</v>
      </c>
      <c r="H866" s="199">
        <v>784</v>
      </c>
      <c r="I866" s="199">
        <v>4576</v>
      </c>
      <c r="J866" s="200">
        <f t="shared" si="337"/>
        <v>5360</v>
      </c>
      <c r="K866" s="201">
        <f t="shared" si="338"/>
        <v>29.999999999956344</v>
      </c>
      <c r="L866" s="43"/>
      <c r="N866" s="112">
        <v>162577</v>
      </c>
      <c r="O866" s="112">
        <v>88817</v>
      </c>
      <c r="P866" s="112">
        <v>7535</v>
      </c>
      <c r="Q866" s="112"/>
      <c r="R866" s="112">
        <v>33097</v>
      </c>
      <c r="S866" s="113">
        <v>7071.7</v>
      </c>
      <c r="T866" s="113"/>
      <c r="U866" s="113"/>
      <c r="V866" s="112">
        <v>228160</v>
      </c>
      <c r="W866" s="112">
        <v>115914</v>
      </c>
      <c r="X866" s="112">
        <v>90461</v>
      </c>
      <c r="Y866" s="112">
        <v>92778</v>
      </c>
      <c r="Z866" s="112">
        <v>167999</v>
      </c>
    </row>
    <row r="867" spans="1:26" ht="18" hidden="1" customHeight="1" x14ac:dyDescent="0.2">
      <c r="A867" s="47">
        <f t="shared" si="228"/>
        <v>43718</v>
      </c>
      <c r="B867" s="47" t="s">
        <v>97</v>
      </c>
      <c r="C867" s="48">
        <f t="shared" ref="C867" si="357">(V868-V867)*1+(W868-W867)*32+(X868-X867)*12+(Y868-Y867)*6</f>
        <v>2245</v>
      </c>
      <c r="D867" s="99">
        <f t="shared" si="324"/>
        <v>1280</v>
      </c>
      <c r="E867" s="45">
        <f t="shared" si="325"/>
        <v>1012.9999999999782</v>
      </c>
      <c r="F867" s="45">
        <f t="shared" ref="F867" si="358">(Z868-Z867)*1</f>
        <v>79</v>
      </c>
      <c r="G867" s="79">
        <f t="shared" ref="G867" si="359">C867+D867+F867+E867</f>
        <v>4616.9999999999782</v>
      </c>
      <c r="H867" s="199">
        <v>849</v>
      </c>
      <c r="I867" s="199">
        <v>3960</v>
      </c>
      <c r="J867" s="200">
        <f t="shared" si="337"/>
        <v>4809</v>
      </c>
      <c r="K867" s="201">
        <f t="shared" si="338"/>
        <v>192.00000000002183</v>
      </c>
      <c r="L867" s="43"/>
      <c r="N867" s="112">
        <v>162737</v>
      </c>
      <c r="O867" s="112">
        <v>88879</v>
      </c>
      <c r="P867" s="112">
        <v>7547</v>
      </c>
      <c r="Q867" s="112"/>
      <c r="R867" s="112">
        <v>33127</v>
      </c>
      <c r="S867" s="113">
        <v>7081.8</v>
      </c>
      <c r="T867" s="113"/>
      <c r="U867" s="113"/>
      <c r="V867" s="112">
        <v>228390</v>
      </c>
      <c r="W867" s="112">
        <v>115963</v>
      </c>
      <c r="X867" s="112">
        <v>90531</v>
      </c>
      <c r="Y867" s="112">
        <v>92778</v>
      </c>
      <c r="Z867" s="112">
        <v>168073</v>
      </c>
    </row>
    <row r="868" spans="1:26" ht="18" hidden="1" customHeight="1" x14ac:dyDescent="0.2">
      <c r="A868" s="47">
        <f t="shared" si="228"/>
        <v>43719</v>
      </c>
      <c r="B868" s="47" t="s">
        <v>98</v>
      </c>
      <c r="C868" s="48">
        <f t="shared" ref="C868" si="360">(V869-V868)*1+(W869-W868)*32+(X869-X868)*12+(Y869-Y868)*6</f>
        <v>2144</v>
      </c>
      <c r="D868" s="99">
        <f t="shared" si="324"/>
        <v>1384</v>
      </c>
      <c r="E868" s="45">
        <f t="shared" si="325"/>
        <v>844.00000000002183</v>
      </c>
      <c r="F868" s="45">
        <f t="shared" ref="F868" si="361">(Z869-Z868)*1</f>
        <v>97</v>
      </c>
      <c r="G868" s="79">
        <f t="shared" ref="G868" si="362">C868+D868+F868+E868</f>
        <v>4469.0000000000218</v>
      </c>
      <c r="H868" s="199">
        <v>844</v>
      </c>
      <c r="I868" s="199">
        <v>3740</v>
      </c>
      <c r="J868" s="200">
        <f t="shared" si="337"/>
        <v>4584</v>
      </c>
      <c r="K868" s="201">
        <f t="shared" si="338"/>
        <v>114.99999999997817</v>
      </c>
      <c r="L868" s="43"/>
      <c r="N868" s="112">
        <v>162887</v>
      </c>
      <c r="O868" s="112">
        <v>88936</v>
      </c>
      <c r="P868" s="112">
        <v>7557</v>
      </c>
      <c r="Q868" s="112"/>
      <c r="R868" s="112">
        <v>33156</v>
      </c>
      <c r="S868" s="113">
        <v>7090</v>
      </c>
      <c r="T868" s="113"/>
      <c r="U868" s="113"/>
      <c r="V868" s="112">
        <v>228619</v>
      </c>
      <c r="W868" s="112">
        <v>116005</v>
      </c>
      <c r="X868" s="112">
        <v>90587</v>
      </c>
      <c r="Y868" s="112">
        <v>92778</v>
      </c>
      <c r="Z868" s="112">
        <v>168152</v>
      </c>
    </row>
    <row r="869" spans="1:26" ht="18" hidden="1" customHeight="1" x14ac:dyDescent="0.2">
      <c r="A869" s="47">
        <f t="shared" si="228"/>
        <v>43720</v>
      </c>
      <c r="B869" s="47" t="s">
        <v>99</v>
      </c>
      <c r="C869" s="48">
        <f t="shared" ref="C869:C872" si="363">(V870-V869)*1+(W870-W869)*32+(X870-X869)*12+(Y870-Y869)*6</f>
        <v>0</v>
      </c>
      <c r="D869" s="99">
        <f t="shared" si="324"/>
        <v>0</v>
      </c>
      <c r="E869" s="45">
        <f t="shared" si="325"/>
        <v>0</v>
      </c>
      <c r="F869" s="45">
        <f t="shared" ref="F869:F872" si="364">(Z870-Z869)*1</f>
        <v>0</v>
      </c>
      <c r="G869" s="79">
        <f t="shared" ref="G869:G872" si="365">C869+D869+F869+E869</f>
        <v>0</v>
      </c>
      <c r="H869" s="199">
        <v>832</v>
      </c>
      <c r="I869" s="199">
        <v>3354</v>
      </c>
      <c r="J869" s="200">
        <f t="shared" si="337"/>
        <v>4186</v>
      </c>
      <c r="K869" s="201">
        <f t="shared" si="338"/>
        <v>4186</v>
      </c>
      <c r="L869" s="43"/>
      <c r="N869" s="112">
        <v>163047</v>
      </c>
      <c r="O869" s="112">
        <v>88997</v>
      </c>
      <c r="P869" s="112">
        <v>7570</v>
      </c>
      <c r="Q869" s="112"/>
      <c r="R869" s="112">
        <v>33184</v>
      </c>
      <c r="S869" s="113">
        <v>7096.8</v>
      </c>
      <c r="T869" s="113"/>
      <c r="U869" s="113"/>
      <c r="V869" s="112">
        <v>228847</v>
      </c>
      <c r="W869" s="112">
        <v>116048</v>
      </c>
      <c r="X869" s="112">
        <v>90632</v>
      </c>
      <c r="Y869" s="112">
        <v>92778</v>
      </c>
      <c r="Z869" s="112">
        <v>168249</v>
      </c>
    </row>
    <row r="870" spans="1:26" ht="18" hidden="1" customHeight="1" x14ac:dyDescent="0.2">
      <c r="A870" s="47">
        <f t="shared" si="228"/>
        <v>43721</v>
      </c>
      <c r="B870" s="56" t="s">
        <v>141</v>
      </c>
      <c r="C870" s="48">
        <f t="shared" si="363"/>
        <v>0</v>
      </c>
      <c r="D870" s="99">
        <f t="shared" si="324"/>
        <v>0</v>
      </c>
      <c r="E870" s="45">
        <f t="shared" si="325"/>
        <v>0</v>
      </c>
      <c r="F870" s="45">
        <f t="shared" si="364"/>
        <v>0</v>
      </c>
      <c r="G870" s="79">
        <f t="shared" si="365"/>
        <v>0</v>
      </c>
      <c r="H870" s="199">
        <v>0</v>
      </c>
      <c r="I870" s="199">
        <v>2651</v>
      </c>
      <c r="J870" s="200">
        <f t="shared" si="337"/>
        <v>2651</v>
      </c>
      <c r="K870" s="201">
        <f t="shared" si="338"/>
        <v>2651</v>
      </c>
      <c r="L870" s="43"/>
      <c r="N870" s="153">
        <v>163047</v>
      </c>
      <c r="O870" s="153">
        <v>88997</v>
      </c>
      <c r="P870" s="153">
        <v>7570</v>
      </c>
      <c r="Q870" s="153"/>
      <c r="R870" s="153">
        <v>33184</v>
      </c>
      <c r="S870" s="154">
        <v>7096.8</v>
      </c>
      <c r="T870" s="154"/>
      <c r="U870" s="154"/>
      <c r="V870" s="153">
        <v>228847</v>
      </c>
      <c r="W870" s="153">
        <v>116048</v>
      </c>
      <c r="X870" s="153">
        <v>90632</v>
      </c>
      <c r="Y870" s="153">
        <v>92778</v>
      </c>
      <c r="Z870" s="153">
        <v>168249</v>
      </c>
    </row>
    <row r="871" spans="1:26" ht="18" hidden="1" customHeight="1" x14ac:dyDescent="0.2">
      <c r="A871" s="47">
        <f t="shared" si="228"/>
        <v>43722</v>
      </c>
      <c r="B871" s="56" t="s">
        <v>103</v>
      </c>
      <c r="C871" s="48">
        <f t="shared" si="363"/>
        <v>0</v>
      </c>
      <c r="D871" s="99">
        <f t="shared" si="324"/>
        <v>0</v>
      </c>
      <c r="E871" s="45">
        <f t="shared" si="325"/>
        <v>0</v>
      </c>
      <c r="F871" s="45">
        <f t="shared" si="364"/>
        <v>0</v>
      </c>
      <c r="G871" s="79">
        <f t="shared" si="365"/>
        <v>0</v>
      </c>
      <c r="H871" s="199">
        <v>0</v>
      </c>
      <c r="I871" s="199">
        <v>2631</v>
      </c>
      <c r="J871" s="200">
        <f t="shared" si="337"/>
        <v>2631</v>
      </c>
      <c r="K871" s="201">
        <f t="shared" si="338"/>
        <v>2631</v>
      </c>
      <c r="L871" s="43"/>
      <c r="N871" s="153">
        <v>163047</v>
      </c>
      <c r="O871" s="153">
        <v>88997</v>
      </c>
      <c r="P871" s="153">
        <v>7570</v>
      </c>
      <c r="Q871" s="153"/>
      <c r="R871" s="153">
        <v>33184</v>
      </c>
      <c r="S871" s="154">
        <v>7096.8</v>
      </c>
      <c r="T871" s="154"/>
      <c r="U871" s="154"/>
      <c r="V871" s="153">
        <v>228847</v>
      </c>
      <c r="W871" s="153">
        <v>116048</v>
      </c>
      <c r="X871" s="153">
        <v>90632</v>
      </c>
      <c r="Y871" s="153">
        <v>92778</v>
      </c>
      <c r="Z871" s="153">
        <v>168249</v>
      </c>
    </row>
    <row r="872" spans="1:26" ht="18" hidden="1" customHeight="1" x14ac:dyDescent="0.2">
      <c r="A872" s="47">
        <f t="shared" ref="A872:A935" si="366">A871+1</f>
        <v>43723</v>
      </c>
      <c r="B872" s="56" t="s">
        <v>104</v>
      </c>
      <c r="C872" s="48">
        <f t="shared" si="363"/>
        <v>3283</v>
      </c>
      <c r="D872" s="99">
        <f t="shared" si="324"/>
        <v>4552</v>
      </c>
      <c r="E872" s="45">
        <f t="shared" si="325"/>
        <v>3529</v>
      </c>
      <c r="F872" s="45">
        <f t="shared" si="364"/>
        <v>321</v>
      </c>
      <c r="G872" s="79">
        <f t="shared" si="365"/>
        <v>11685</v>
      </c>
      <c r="H872" s="199">
        <v>0</v>
      </c>
      <c r="I872" s="199">
        <v>2729</v>
      </c>
      <c r="J872" s="200">
        <f t="shared" si="337"/>
        <v>2729</v>
      </c>
      <c r="K872" s="201">
        <f t="shared" si="338"/>
        <v>-8956</v>
      </c>
      <c r="L872" s="43"/>
      <c r="N872" s="153">
        <v>163047</v>
      </c>
      <c r="O872" s="153">
        <v>88997</v>
      </c>
      <c r="P872" s="153">
        <v>7570</v>
      </c>
      <c r="Q872" s="153"/>
      <c r="R872" s="153">
        <v>33184</v>
      </c>
      <c r="S872" s="154">
        <v>7096.8</v>
      </c>
      <c r="T872" s="154"/>
      <c r="U872" s="154"/>
      <c r="V872" s="153">
        <v>228847</v>
      </c>
      <c r="W872" s="153">
        <v>116048</v>
      </c>
      <c r="X872" s="153">
        <v>90632</v>
      </c>
      <c r="Y872" s="153">
        <v>92778</v>
      </c>
      <c r="Z872" s="153">
        <v>168249</v>
      </c>
    </row>
    <row r="873" spans="1:26" ht="18" hidden="1" customHeight="1" x14ac:dyDescent="0.2">
      <c r="A873" s="47">
        <f t="shared" si="366"/>
        <v>43724</v>
      </c>
      <c r="B873" s="47" t="s">
        <v>96</v>
      </c>
      <c r="C873" s="48">
        <f t="shared" ref="C873" si="367">(V874-V873)*1+(W874-W873)*32+(X874-X873)*12+(Y874-Y873)*6</f>
        <v>2241</v>
      </c>
      <c r="D873" s="99">
        <f t="shared" si="324"/>
        <v>1216</v>
      </c>
      <c r="E873" s="45">
        <f t="shared" si="325"/>
        <v>1151.9999999999345</v>
      </c>
      <c r="F873" s="45">
        <f t="shared" ref="F873" si="368">(Z874-Z873)*1</f>
        <v>71</v>
      </c>
      <c r="G873" s="79">
        <f t="shared" ref="G873" si="369">C873+D873+F873+E873</f>
        <v>4679.9999999999345</v>
      </c>
      <c r="H873" s="199">
        <v>4084</v>
      </c>
      <c r="I873" s="199">
        <v>775</v>
      </c>
      <c r="J873" s="200">
        <f t="shared" si="337"/>
        <v>4859</v>
      </c>
      <c r="K873" s="201">
        <f t="shared" si="338"/>
        <v>179.00000000006548</v>
      </c>
      <c r="L873" s="43"/>
      <c r="N873" s="112">
        <v>163587</v>
      </c>
      <c r="O873" s="112">
        <v>889201</v>
      </c>
      <c r="P873" s="112">
        <v>7599</v>
      </c>
      <c r="Q873" s="112"/>
      <c r="R873" s="112">
        <v>33293</v>
      </c>
      <c r="S873" s="113">
        <v>7125.3</v>
      </c>
      <c r="T873" s="113"/>
      <c r="U873" s="113"/>
      <c r="V873" s="112">
        <v>229418</v>
      </c>
      <c r="W873" s="112">
        <v>116117</v>
      </c>
      <c r="X873" s="112">
        <v>90674</v>
      </c>
      <c r="Y873" s="112">
        <v>92778</v>
      </c>
      <c r="Z873" s="112">
        <v>168570</v>
      </c>
    </row>
    <row r="874" spans="1:26" ht="18" hidden="1" customHeight="1" x14ac:dyDescent="0.2">
      <c r="A874" s="47">
        <f t="shared" si="366"/>
        <v>43725</v>
      </c>
      <c r="B874" s="47" t="s">
        <v>97</v>
      </c>
      <c r="C874" s="48">
        <f t="shared" ref="C874" si="370">(V875-V874)*1+(W875-W874)*32+(X875-X874)*12+(Y875-Y874)*6</f>
        <v>1787</v>
      </c>
      <c r="D874" s="99">
        <f t="shared" si="324"/>
        <v>1368</v>
      </c>
      <c r="E874" s="45">
        <f t="shared" si="325"/>
        <v>1077</v>
      </c>
      <c r="F874" s="45">
        <f t="shared" ref="F874" si="371">(Z875-Z874)*1</f>
        <v>68</v>
      </c>
      <c r="G874" s="79">
        <f t="shared" ref="G874" si="372">C874+D874+F874+E874</f>
        <v>4300</v>
      </c>
      <c r="H874" s="199">
        <v>872</v>
      </c>
      <c r="I874" s="199">
        <v>3483</v>
      </c>
      <c r="J874" s="200">
        <f t="shared" si="337"/>
        <v>4355</v>
      </c>
      <c r="K874" s="201">
        <f t="shared" si="338"/>
        <v>55</v>
      </c>
      <c r="L874" s="43"/>
      <c r="N874" s="112">
        <v>163727</v>
      </c>
      <c r="O874" s="112">
        <v>889259</v>
      </c>
      <c r="P874" s="112">
        <v>7611</v>
      </c>
      <c r="Q874" s="112"/>
      <c r="R874" s="112">
        <v>33233</v>
      </c>
      <c r="S874" s="113">
        <v>7135.4</v>
      </c>
      <c r="T874" s="113"/>
      <c r="U874" s="113"/>
      <c r="V874" s="112">
        <v>229611</v>
      </c>
      <c r="W874" s="112">
        <v>116157</v>
      </c>
      <c r="X874" s="112">
        <v>90738</v>
      </c>
      <c r="Y874" s="112">
        <v>92778</v>
      </c>
      <c r="Z874" s="112">
        <v>168641</v>
      </c>
    </row>
    <row r="875" spans="1:26" ht="18" hidden="1" customHeight="1" x14ac:dyDescent="0.2">
      <c r="A875" s="47">
        <f t="shared" si="366"/>
        <v>43726</v>
      </c>
      <c r="B875" s="47" t="s">
        <v>98</v>
      </c>
      <c r="C875" s="48">
        <f t="shared" ref="C875" si="373">(V876-V875)*1+(W876-W875)*32+(X876-X875)*12+(Y876-Y875)*6</f>
        <v>1941</v>
      </c>
      <c r="D875" s="99">
        <f t="shared" si="324"/>
        <v>1320</v>
      </c>
      <c r="E875" s="45">
        <f t="shared" si="325"/>
        <v>867</v>
      </c>
      <c r="F875" s="45">
        <f t="shared" ref="F875" si="374">(Z876-Z875)*1</f>
        <v>60</v>
      </c>
      <c r="G875" s="79">
        <f t="shared" ref="G875" si="375">C875+D875+F875+E875</f>
        <v>4188</v>
      </c>
      <c r="H875" s="199">
        <v>808</v>
      </c>
      <c r="I875" s="199">
        <v>3560</v>
      </c>
      <c r="J875" s="200">
        <f t="shared" si="337"/>
        <v>4368</v>
      </c>
      <c r="K875" s="201">
        <f t="shared" si="338"/>
        <v>180</v>
      </c>
      <c r="L875" s="43"/>
      <c r="N875" s="112">
        <v>163887</v>
      </c>
      <c r="O875" s="112">
        <v>889314</v>
      </c>
      <c r="P875" s="112">
        <v>7622</v>
      </c>
      <c r="Q875" s="112"/>
      <c r="R875" s="112">
        <v>33350</v>
      </c>
      <c r="S875" s="113">
        <v>7143.4</v>
      </c>
      <c r="T875" s="113"/>
      <c r="U875" s="113"/>
      <c r="V875" s="112">
        <v>229778</v>
      </c>
      <c r="W875" s="112">
        <v>116190</v>
      </c>
      <c r="X875" s="112">
        <v>90785</v>
      </c>
      <c r="Y875" s="112">
        <v>92778</v>
      </c>
      <c r="Z875" s="112">
        <v>168709</v>
      </c>
    </row>
    <row r="876" spans="1:26" ht="18" hidden="1" customHeight="1" x14ac:dyDescent="0.2">
      <c r="A876" s="47">
        <f t="shared" si="366"/>
        <v>43727</v>
      </c>
      <c r="B876" s="47" t="s">
        <v>99</v>
      </c>
      <c r="C876" s="48">
        <f t="shared" ref="C876" si="376">(V877-V876)*1+(W877-W876)*32+(X877-X876)*12+(Y877-Y876)*6</f>
        <v>1961</v>
      </c>
      <c r="D876" s="99">
        <f t="shared" si="324"/>
        <v>1360</v>
      </c>
      <c r="E876" s="45">
        <f t="shared" si="325"/>
        <v>930</v>
      </c>
      <c r="F876" s="45">
        <f t="shared" ref="F876" si="377">(Z877-Z876)*1</f>
        <v>57</v>
      </c>
      <c r="G876" s="79">
        <f t="shared" ref="G876" si="378">C876+D876+F876+E876</f>
        <v>4308</v>
      </c>
      <c r="H876" s="199">
        <v>772</v>
      </c>
      <c r="I876" s="199">
        <v>3601</v>
      </c>
      <c r="J876" s="200">
        <f t="shared" si="337"/>
        <v>4373</v>
      </c>
      <c r="K876" s="201">
        <f t="shared" si="338"/>
        <v>65</v>
      </c>
      <c r="L876" s="43"/>
      <c r="N876" s="112">
        <v>164037</v>
      </c>
      <c r="O876" s="112">
        <v>889374</v>
      </c>
      <c r="P876" s="112">
        <v>7637</v>
      </c>
      <c r="Q876" s="112"/>
      <c r="R876" s="112">
        <v>33377</v>
      </c>
      <c r="S876" s="113">
        <v>7150.4</v>
      </c>
      <c r="T876" s="113"/>
      <c r="U876" s="113"/>
      <c r="V876" s="112">
        <v>229971</v>
      </c>
      <c r="W876" s="112">
        <v>116224</v>
      </c>
      <c r="X876" s="112">
        <v>90840</v>
      </c>
      <c r="Y876" s="112">
        <v>92778</v>
      </c>
      <c r="Z876" s="112">
        <v>168769</v>
      </c>
    </row>
    <row r="877" spans="1:26" ht="18" hidden="1" customHeight="1" x14ac:dyDescent="0.2">
      <c r="A877" s="47">
        <f t="shared" si="366"/>
        <v>43728</v>
      </c>
      <c r="B877" s="47" t="s">
        <v>100</v>
      </c>
      <c r="C877" s="48">
        <f t="shared" ref="C877:C879" si="379">(V878-V877)*1+(W878-W877)*32+(X878-X877)*12+(Y878-Y877)*6</f>
        <v>0</v>
      </c>
      <c r="D877" s="99">
        <f t="shared" si="324"/>
        <v>0</v>
      </c>
      <c r="E877" s="45">
        <f t="shared" si="325"/>
        <v>0</v>
      </c>
      <c r="F877" s="45">
        <f t="shared" ref="F877:F879" si="380">(Z878-Z877)*1</f>
        <v>0</v>
      </c>
      <c r="G877" s="79">
        <f t="shared" ref="G877:G879" si="381">C877+D877+F877+E877</f>
        <v>0</v>
      </c>
      <c r="H877" s="199">
        <v>817</v>
      </c>
      <c r="I877" s="199">
        <v>3612</v>
      </c>
      <c r="J877" s="200">
        <f t="shared" si="337"/>
        <v>4429</v>
      </c>
      <c r="K877" s="201">
        <f t="shared" si="338"/>
        <v>4429</v>
      </c>
      <c r="L877" s="43"/>
      <c r="N877" s="112">
        <v>164197</v>
      </c>
      <c r="O877" s="112">
        <v>889431</v>
      </c>
      <c r="P877" s="112">
        <v>7647</v>
      </c>
      <c r="Q877" s="112"/>
      <c r="R877" s="112">
        <v>33407</v>
      </c>
      <c r="S877" s="113">
        <v>7157.9</v>
      </c>
      <c r="T877" s="113"/>
      <c r="U877" s="113"/>
      <c r="V877" s="112">
        <v>230140</v>
      </c>
      <c r="W877" s="112">
        <v>116256</v>
      </c>
      <c r="X877" s="112">
        <v>90904</v>
      </c>
      <c r="Y877" s="112">
        <v>92778</v>
      </c>
      <c r="Z877" s="112">
        <v>168826</v>
      </c>
    </row>
    <row r="878" spans="1:26" ht="18" hidden="1" customHeight="1" x14ac:dyDescent="0.2">
      <c r="A878" s="47">
        <f t="shared" si="366"/>
        <v>43729</v>
      </c>
      <c r="B878" s="56" t="s">
        <v>103</v>
      </c>
      <c r="C878" s="48">
        <f t="shared" si="379"/>
        <v>0</v>
      </c>
      <c r="D878" s="99">
        <f t="shared" si="324"/>
        <v>0</v>
      </c>
      <c r="E878" s="45">
        <f t="shared" si="325"/>
        <v>0</v>
      </c>
      <c r="F878" s="45">
        <f t="shared" si="380"/>
        <v>0</v>
      </c>
      <c r="G878" s="79">
        <f t="shared" si="381"/>
        <v>0</v>
      </c>
      <c r="H878" s="199">
        <v>0</v>
      </c>
      <c r="I878" s="199">
        <v>2948</v>
      </c>
      <c r="J878" s="200">
        <f t="shared" si="337"/>
        <v>2948</v>
      </c>
      <c r="K878" s="201">
        <f t="shared" si="338"/>
        <v>2948</v>
      </c>
      <c r="L878" s="43"/>
      <c r="N878" s="153">
        <v>164197</v>
      </c>
      <c r="O878" s="153">
        <v>889431</v>
      </c>
      <c r="P878" s="153">
        <v>7647</v>
      </c>
      <c r="Q878" s="153"/>
      <c r="R878" s="153">
        <v>33407</v>
      </c>
      <c r="S878" s="154">
        <v>7157.9</v>
      </c>
      <c r="T878" s="154"/>
      <c r="U878" s="154"/>
      <c r="V878" s="153">
        <v>230140</v>
      </c>
      <c r="W878" s="153">
        <v>116256</v>
      </c>
      <c r="X878" s="153">
        <v>90904</v>
      </c>
      <c r="Y878" s="153">
        <v>92778</v>
      </c>
      <c r="Z878" s="153">
        <v>168826</v>
      </c>
    </row>
    <row r="879" spans="1:26" ht="18" hidden="1" customHeight="1" x14ac:dyDescent="0.2">
      <c r="A879" s="47">
        <f t="shared" si="366"/>
        <v>43730</v>
      </c>
      <c r="B879" s="56" t="s">
        <v>104</v>
      </c>
      <c r="C879" s="48">
        <f t="shared" si="379"/>
        <v>2881</v>
      </c>
      <c r="D879" s="99">
        <f t="shared" si="324"/>
        <v>3560</v>
      </c>
      <c r="E879" s="45">
        <f t="shared" si="325"/>
        <v>3346.0000000000218</v>
      </c>
      <c r="F879" s="45">
        <f t="shared" si="380"/>
        <v>183</v>
      </c>
      <c r="G879" s="79">
        <f t="shared" si="381"/>
        <v>9970.0000000000218</v>
      </c>
      <c r="H879" s="199">
        <v>0</v>
      </c>
      <c r="I879" s="199">
        <v>2959</v>
      </c>
      <c r="J879" s="200">
        <f t="shared" si="337"/>
        <v>2959</v>
      </c>
      <c r="K879" s="201">
        <f t="shared" si="338"/>
        <v>-7011.0000000000218</v>
      </c>
      <c r="L879" s="43"/>
      <c r="N879" s="153">
        <v>164197</v>
      </c>
      <c r="O879" s="153">
        <v>889431</v>
      </c>
      <c r="P879" s="153">
        <v>7647</v>
      </c>
      <c r="Q879" s="153"/>
      <c r="R879" s="153">
        <v>33407</v>
      </c>
      <c r="S879" s="154">
        <v>7157.9</v>
      </c>
      <c r="T879" s="154"/>
      <c r="U879" s="154"/>
      <c r="V879" s="153">
        <v>230140</v>
      </c>
      <c r="W879" s="153">
        <v>116256</v>
      </c>
      <c r="X879" s="153">
        <v>90904</v>
      </c>
      <c r="Y879" s="153">
        <v>92778</v>
      </c>
      <c r="Z879" s="153">
        <v>168826</v>
      </c>
    </row>
    <row r="880" spans="1:26" ht="18" hidden="1" customHeight="1" x14ac:dyDescent="0.2">
      <c r="A880" s="47">
        <f t="shared" si="366"/>
        <v>43731</v>
      </c>
      <c r="B880" s="47" t="s">
        <v>96</v>
      </c>
      <c r="C880" s="48">
        <f t="shared" ref="C880" si="382">(V881-V880)*1+(W881-W880)*32+(X881-X880)*12+(Y881-Y880)*6</f>
        <v>1927</v>
      </c>
      <c r="D880" s="99">
        <f t="shared" si="324"/>
        <v>1384</v>
      </c>
      <c r="E880" s="45">
        <f t="shared" si="325"/>
        <v>743.99999999997817</v>
      </c>
      <c r="F880" s="45">
        <f t="shared" ref="F880" si="383">(Z881-Z880)*1</f>
        <v>62</v>
      </c>
      <c r="G880" s="79">
        <f t="shared" ref="G880" si="384">C880+D880+F880+E880</f>
        <v>4116.9999999999782</v>
      </c>
      <c r="H880" s="199">
        <v>834</v>
      </c>
      <c r="I880" s="199">
        <v>3819</v>
      </c>
      <c r="J880" s="200">
        <f t="shared" si="337"/>
        <v>4653</v>
      </c>
      <c r="K880" s="201">
        <f t="shared" si="338"/>
        <v>536.00000000002183</v>
      </c>
      <c r="L880" s="43"/>
      <c r="N880" s="112">
        <v>164617</v>
      </c>
      <c r="O880" s="112">
        <v>889595</v>
      </c>
      <c r="P880" s="112">
        <v>7672</v>
      </c>
      <c r="Q880" s="112"/>
      <c r="R880" s="112">
        <v>33477</v>
      </c>
      <c r="S880" s="113">
        <v>7185.2</v>
      </c>
      <c r="T880" s="113"/>
      <c r="U880" s="113"/>
      <c r="V880" s="112">
        <v>230553</v>
      </c>
      <c r="W880" s="112">
        <v>116305</v>
      </c>
      <c r="X880" s="112">
        <v>90979</v>
      </c>
      <c r="Y880" s="112">
        <v>92778</v>
      </c>
      <c r="Z880" s="112">
        <v>169009</v>
      </c>
    </row>
    <row r="881" spans="1:26" ht="18" hidden="1" customHeight="1" x14ac:dyDescent="0.2">
      <c r="A881" s="47">
        <f t="shared" si="366"/>
        <v>43732</v>
      </c>
      <c r="B881" s="47" t="s">
        <v>97</v>
      </c>
      <c r="C881" s="48">
        <f t="shared" ref="C881" si="385">(V882-V881)*1+(W882-W881)*32+(X882-X881)*12+(Y882-Y881)*6</f>
        <v>1563</v>
      </c>
      <c r="D881" s="99">
        <f t="shared" si="324"/>
        <v>1360</v>
      </c>
      <c r="E881" s="45">
        <f t="shared" si="325"/>
        <v>1437</v>
      </c>
      <c r="F881" s="45">
        <f t="shared" ref="F881" si="386">(Z882-Z881)*1</f>
        <v>63</v>
      </c>
      <c r="G881" s="79">
        <f t="shared" ref="G881" si="387">C881+D881+F881+E881</f>
        <v>4423</v>
      </c>
      <c r="H881" s="199">
        <v>829</v>
      </c>
      <c r="I881" s="199">
        <v>3325</v>
      </c>
      <c r="J881" s="200">
        <f t="shared" si="337"/>
        <v>4154</v>
      </c>
      <c r="K881" s="201">
        <f t="shared" si="338"/>
        <v>-269</v>
      </c>
      <c r="L881" s="43"/>
      <c r="N881" s="112">
        <v>164777</v>
      </c>
      <c r="O881" s="112">
        <v>889657</v>
      </c>
      <c r="P881" s="112">
        <v>7685</v>
      </c>
      <c r="Q881" s="112"/>
      <c r="R881" s="112">
        <v>33057</v>
      </c>
      <c r="S881" s="113">
        <v>7194.9</v>
      </c>
      <c r="T881" s="113"/>
      <c r="U881" s="113"/>
      <c r="V881" s="112">
        <v>230736</v>
      </c>
      <c r="W881" s="112">
        <v>116337</v>
      </c>
      <c r="X881" s="112">
        <v>91039</v>
      </c>
      <c r="Y881" s="112">
        <v>92778</v>
      </c>
      <c r="Z881" s="112">
        <v>169071</v>
      </c>
    </row>
    <row r="882" spans="1:26" ht="18" hidden="1" customHeight="1" x14ac:dyDescent="0.2">
      <c r="A882" s="47">
        <f t="shared" si="366"/>
        <v>43733</v>
      </c>
      <c r="B882" s="47" t="s">
        <v>98</v>
      </c>
      <c r="C882" s="48">
        <f t="shared" ref="C882" si="388">(V883-V882)*1+(W883-W882)*32+(X883-X882)*12+(Y883-Y882)*6</f>
        <v>2274</v>
      </c>
      <c r="D882" s="99">
        <f t="shared" si="324"/>
        <v>1440</v>
      </c>
      <c r="E882" s="45">
        <f t="shared" si="325"/>
        <v>1010.0000000000873</v>
      </c>
      <c r="F882" s="45">
        <f t="shared" ref="F882" si="389">(Z883-Z882)*1</f>
        <v>61</v>
      </c>
      <c r="G882" s="79">
        <f t="shared" ref="G882" si="390">C882+D882+F882+E882</f>
        <v>4785.0000000000873</v>
      </c>
      <c r="H882" s="199">
        <v>821</v>
      </c>
      <c r="I882" s="199">
        <v>4095</v>
      </c>
      <c r="J882" s="200">
        <f t="shared" si="337"/>
        <v>4916</v>
      </c>
      <c r="K882" s="201">
        <f t="shared" si="338"/>
        <v>130.99999999991269</v>
      </c>
      <c r="L882" s="43"/>
      <c r="N882" s="112">
        <v>164937</v>
      </c>
      <c r="O882" s="112">
        <v>889717</v>
      </c>
      <c r="P882" s="112">
        <v>7695</v>
      </c>
      <c r="Q882" s="112"/>
      <c r="R882" s="112">
        <v>33534</v>
      </c>
      <c r="S882" s="113">
        <v>7202.9</v>
      </c>
      <c r="T882" s="113"/>
      <c r="U882" s="113"/>
      <c r="V882" s="112">
        <v>230907</v>
      </c>
      <c r="W882" s="112">
        <v>116364</v>
      </c>
      <c r="X882" s="112">
        <v>91083</v>
      </c>
      <c r="Y882" s="112">
        <v>92778</v>
      </c>
      <c r="Z882" s="112">
        <v>169134</v>
      </c>
    </row>
    <row r="883" spans="1:26" ht="18" hidden="1" customHeight="1" x14ac:dyDescent="0.2">
      <c r="A883" s="47">
        <f t="shared" si="366"/>
        <v>43734</v>
      </c>
      <c r="B883" s="47" t="s">
        <v>99</v>
      </c>
      <c r="C883" s="48">
        <f t="shared" ref="C883:C887" si="391">(V884-V883)*1+(W884-W883)*32+(X884-X883)*12+(Y884-Y883)*6</f>
        <v>0</v>
      </c>
      <c r="D883" s="99">
        <f t="shared" si="324"/>
        <v>0</v>
      </c>
      <c r="E883" s="45">
        <f t="shared" si="325"/>
        <v>0</v>
      </c>
      <c r="F883" s="45">
        <f t="shared" ref="F883:F887" si="392">(Z884-Z883)*1</f>
        <v>0</v>
      </c>
      <c r="G883" s="79">
        <f t="shared" ref="G883:G887" si="393">C883+D883+F883+E883</f>
        <v>0</v>
      </c>
      <c r="H883" s="199">
        <v>885</v>
      </c>
      <c r="I883" s="199">
        <v>3854</v>
      </c>
      <c r="J883" s="200">
        <f t="shared" si="337"/>
        <v>4739</v>
      </c>
      <c r="K883" s="201">
        <f t="shared" si="338"/>
        <v>4739</v>
      </c>
      <c r="L883" s="43"/>
      <c r="N883" s="112">
        <v>165107</v>
      </c>
      <c r="O883" s="112">
        <v>889787</v>
      </c>
      <c r="P883" s="112">
        <v>7705</v>
      </c>
      <c r="Q883" s="112"/>
      <c r="R883" s="112">
        <v>33560</v>
      </c>
      <c r="S883" s="113">
        <v>7211.1</v>
      </c>
      <c r="T883" s="113"/>
      <c r="U883" s="113"/>
      <c r="V883" s="112">
        <v>231033</v>
      </c>
      <c r="W883" s="112">
        <v>116403</v>
      </c>
      <c r="X883" s="112">
        <v>91158</v>
      </c>
      <c r="Y883" s="112">
        <v>92778</v>
      </c>
      <c r="Z883" s="112">
        <v>169195</v>
      </c>
    </row>
    <row r="884" spans="1:26" ht="18" hidden="1" customHeight="1" x14ac:dyDescent="0.2">
      <c r="A884" s="47">
        <f t="shared" si="366"/>
        <v>43735</v>
      </c>
      <c r="B884" s="47" t="s">
        <v>100</v>
      </c>
      <c r="C884" s="48">
        <f t="shared" si="391"/>
        <v>0</v>
      </c>
      <c r="D884" s="99">
        <f t="shared" si="324"/>
        <v>0</v>
      </c>
      <c r="E884" s="45">
        <f t="shared" si="325"/>
        <v>0</v>
      </c>
      <c r="F884" s="45">
        <f t="shared" si="392"/>
        <v>0</v>
      </c>
      <c r="G884" s="79">
        <f t="shared" si="393"/>
        <v>0</v>
      </c>
      <c r="H884" s="199">
        <v>848</v>
      </c>
      <c r="I884" s="199">
        <v>3845</v>
      </c>
      <c r="J884" s="200">
        <f t="shared" si="337"/>
        <v>4693</v>
      </c>
      <c r="K884" s="201">
        <f t="shared" si="338"/>
        <v>4693</v>
      </c>
      <c r="L884" s="43"/>
      <c r="N884" s="153">
        <v>165107</v>
      </c>
      <c r="O884" s="153">
        <v>889787</v>
      </c>
      <c r="P884" s="153">
        <v>7705</v>
      </c>
      <c r="Q884" s="153"/>
      <c r="R884" s="153">
        <v>33560</v>
      </c>
      <c r="S884" s="154">
        <v>7211.1</v>
      </c>
      <c r="T884" s="154"/>
      <c r="U884" s="154"/>
      <c r="V884" s="153">
        <v>231033</v>
      </c>
      <c r="W884" s="153">
        <v>116403</v>
      </c>
      <c r="X884" s="153">
        <v>91158</v>
      </c>
      <c r="Y884" s="153">
        <v>92778</v>
      </c>
      <c r="Z884" s="153">
        <v>169195</v>
      </c>
    </row>
    <row r="885" spans="1:26" ht="18" hidden="1" customHeight="1" x14ac:dyDescent="0.2">
      <c r="A885" s="47">
        <f t="shared" si="366"/>
        <v>43736</v>
      </c>
      <c r="B885" s="56" t="s">
        <v>103</v>
      </c>
      <c r="C885" s="48">
        <f t="shared" si="391"/>
        <v>0</v>
      </c>
      <c r="D885" s="99">
        <f t="shared" si="324"/>
        <v>0</v>
      </c>
      <c r="E885" s="45">
        <f t="shared" si="325"/>
        <v>0</v>
      </c>
      <c r="F885" s="45">
        <f t="shared" si="392"/>
        <v>0</v>
      </c>
      <c r="G885" s="79">
        <f t="shared" si="393"/>
        <v>0</v>
      </c>
      <c r="H885" s="199">
        <v>0</v>
      </c>
      <c r="I885" s="199">
        <v>3136</v>
      </c>
      <c r="J885" s="200">
        <f t="shared" si="337"/>
        <v>3136</v>
      </c>
      <c r="K885" s="201">
        <f t="shared" si="338"/>
        <v>3136</v>
      </c>
      <c r="L885" s="43"/>
      <c r="N885" s="153">
        <v>165107</v>
      </c>
      <c r="O885" s="153">
        <v>889787</v>
      </c>
      <c r="P885" s="153">
        <v>7705</v>
      </c>
      <c r="Q885" s="153"/>
      <c r="R885" s="153">
        <v>33560</v>
      </c>
      <c r="S885" s="154">
        <v>7211.1</v>
      </c>
      <c r="T885" s="154"/>
      <c r="U885" s="154"/>
      <c r="V885" s="153">
        <v>231033</v>
      </c>
      <c r="W885" s="153">
        <v>116403</v>
      </c>
      <c r="X885" s="153">
        <v>91158</v>
      </c>
      <c r="Y885" s="153">
        <v>92778</v>
      </c>
      <c r="Z885" s="153">
        <v>169195</v>
      </c>
    </row>
    <row r="886" spans="1:26" ht="18" hidden="1" customHeight="1" x14ac:dyDescent="0.2">
      <c r="A886" s="47">
        <f t="shared" si="366"/>
        <v>43737</v>
      </c>
      <c r="B886" s="56" t="s">
        <v>104</v>
      </c>
      <c r="C886" s="48">
        <f t="shared" si="391"/>
        <v>0</v>
      </c>
      <c r="D886" s="99">
        <f t="shared" si="324"/>
        <v>0</v>
      </c>
      <c r="E886" s="45">
        <f t="shared" si="325"/>
        <v>0</v>
      </c>
      <c r="F886" s="45">
        <f t="shared" si="392"/>
        <v>0</v>
      </c>
      <c r="G886" s="79">
        <f t="shared" si="393"/>
        <v>0</v>
      </c>
      <c r="H886" s="199">
        <v>0</v>
      </c>
      <c r="I886" s="199">
        <v>3177</v>
      </c>
      <c r="J886" s="200">
        <f t="shared" si="337"/>
        <v>3177</v>
      </c>
      <c r="K886" s="201">
        <f t="shared" si="338"/>
        <v>3177</v>
      </c>
      <c r="L886" s="43"/>
      <c r="N886" s="153">
        <v>165107</v>
      </c>
      <c r="O886" s="153">
        <v>889787</v>
      </c>
      <c r="P886" s="153">
        <v>7705</v>
      </c>
      <c r="Q886" s="153"/>
      <c r="R886" s="153">
        <v>33560</v>
      </c>
      <c r="S886" s="154">
        <v>7211.1</v>
      </c>
      <c r="T886" s="154"/>
      <c r="U886" s="154"/>
      <c r="V886" s="153">
        <v>231033</v>
      </c>
      <c r="W886" s="153">
        <v>116403</v>
      </c>
      <c r="X886" s="153">
        <v>91158</v>
      </c>
      <c r="Y886" s="153">
        <v>92778</v>
      </c>
      <c r="Z886" s="153">
        <v>169195</v>
      </c>
    </row>
    <row r="887" spans="1:26" ht="18" hidden="1" customHeight="1" x14ac:dyDescent="0.2">
      <c r="A887" s="47">
        <f t="shared" si="366"/>
        <v>43738</v>
      </c>
      <c r="B887" s="47" t="s">
        <v>96</v>
      </c>
      <c r="C887" s="48">
        <f t="shared" si="391"/>
        <v>5197</v>
      </c>
      <c r="D887" s="99">
        <f t="shared" si="324"/>
        <v>6448</v>
      </c>
      <c r="E887" s="45">
        <f t="shared" si="325"/>
        <v>6419.9999999999127</v>
      </c>
      <c r="F887" s="45">
        <f t="shared" si="392"/>
        <v>362</v>
      </c>
      <c r="G887" s="79">
        <f t="shared" si="393"/>
        <v>18426.999999999913</v>
      </c>
      <c r="H887" s="199">
        <v>2509</v>
      </c>
      <c r="I887" s="199">
        <v>749</v>
      </c>
      <c r="J887" s="200">
        <f t="shared" si="337"/>
        <v>3258</v>
      </c>
      <c r="K887" s="201">
        <f t="shared" si="338"/>
        <v>-15168.999999999913</v>
      </c>
      <c r="L887" s="43"/>
      <c r="N887" s="153">
        <v>165107</v>
      </c>
      <c r="O887" s="153">
        <v>889787</v>
      </c>
      <c r="P887" s="153">
        <v>7705</v>
      </c>
      <c r="Q887" s="153"/>
      <c r="R887" s="153">
        <v>33560</v>
      </c>
      <c r="S887" s="154">
        <v>7211.1</v>
      </c>
      <c r="T887" s="154"/>
      <c r="U887" s="154"/>
      <c r="V887" s="153">
        <v>231033</v>
      </c>
      <c r="W887" s="153">
        <v>116403</v>
      </c>
      <c r="X887" s="153">
        <v>91158</v>
      </c>
      <c r="Y887" s="153">
        <v>92778</v>
      </c>
      <c r="Z887" s="153">
        <v>169195</v>
      </c>
    </row>
    <row r="888" spans="1:26" ht="18" hidden="1" customHeight="1" x14ac:dyDescent="0.2">
      <c r="A888" s="47">
        <f t="shared" si="366"/>
        <v>43739</v>
      </c>
      <c r="B888" s="47" t="s">
        <v>97</v>
      </c>
      <c r="C888" s="48">
        <f t="shared" ref="C888" si="394">(V889-V888)*1+(W889-W888)*32+(X889-X888)*12+(Y889-Y888)*6</f>
        <v>1910</v>
      </c>
      <c r="D888" s="99">
        <f t="shared" si="324"/>
        <v>1264</v>
      </c>
      <c r="E888" s="45">
        <f t="shared" si="325"/>
        <v>1155.0000000000655</v>
      </c>
      <c r="F888" s="45">
        <f t="shared" ref="F888" si="395">(Z889-Z888)*1</f>
        <v>61</v>
      </c>
      <c r="G888" s="79">
        <f t="shared" ref="G888" si="396">C888+D888+F888+E888</f>
        <v>4390.0000000000655</v>
      </c>
      <c r="H888" s="199">
        <v>3809</v>
      </c>
      <c r="I888" s="199">
        <v>755</v>
      </c>
      <c r="J888" s="200">
        <f t="shared" ref="J888:J918" si="397">H888+I888</f>
        <v>4564</v>
      </c>
      <c r="K888" s="201">
        <f t="shared" ref="K888:K918" si="398">J888-G888</f>
        <v>173.99999999993452</v>
      </c>
      <c r="L888" s="43"/>
      <c r="N888" s="112">
        <v>165867</v>
      </c>
      <c r="O888" s="112">
        <v>890063</v>
      </c>
      <c r="P888" s="112">
        <v>7751</v>
      </c>
      <c r="Q888" s="112"/>
      <c r="R888" s="112">
        <v>33704</v>
      </c>
      <c r="S888" s="113">
        <v>7263.4</v>
      </c>
      <c r="T888" s="113"/>
      <c r="U888" s="113"/>
      <c r="V888" s="112">
        <v>231842</v>
      </c>
      <c r="W888" s="112">
        <v>116500</v>
      </c>
      <c r="X888" s="112">
        <v>91265</v>
      </c>
      <c r="Y888" s="112">
        <v>92778</v>
      </c>
      <c r="Z888" s="112">
        <v>169557</v>
      </c>
    </row>
    <row r="889" spans="1:26" ht="18" hidden="1" customHeight="1" x14ac:dyDescent="0.2">
      <c r="A889" s="47">
        <f t="shared" si="366"/>
        <v>43740</v>
      </c>
      <c r="B889" s="47" t="s">
        <v>98</v>
      </c>
      <c r="C889" s="48">
        <f t="shared" ref="C889" si="399">(V890-V889)*1+(W890-W889)*32+(X890-X889)*12+(Y890-Y889)*6</f>
        <v>1853</v>
      </c>
      <c r="D889" s="99">
        <f t="shared" si="324"/>
        <v>1392</v>
      </c>
      <c r="E889" s="45">
        <f t="shared" si="325"/>
        <v>1146.0000000000218</v>
      </c>
      <c r="F889" s="45">
        <f t="shared" ref="F889" si="400">(Z890-Z889)*1</f>
        <v>72</v>
      </c>
      <c r="G889" s="79">
        <f t="shared" ref="G889" si="401">C889+D889+F889+E889</f>
        <v>4463.0000000000218</v>
      </c>
      <c r="H889" s="199">
        <v>2756</v>
      </c>
      <c r="I889" s="199">
        <v>820</v>
      </c>
      <c r="J889" s="200">
        <f t="shared" si="397"/>
        <v>3576</v>
      </c>
      <c r="K889" s="201">
        <f t="shared" si="398"/>
        <v>-887.00000000002183</v>
      </c>
      <c r="L889" s="43"/>
      <c r="N889" s="112">
        <v>166017</v>
      </c>
      <c r="O889" s="112">
        <v>890121</v>
      </c>
      <c r="P889" s="112">
        <v>7759</v>
      </c>
      <c r="Q889" s="112"/>
      <c r="R889" s="112">
        <v>33731</v>
      </c>
      <c r="S889" s="113">
        <v>7272.8</v>
      </c>
      <c r="T889" s="113"/>
      <c r="U889" s="113"/>
      <c r="V889" s="112">
        <v>232032</v>
      </c>
      <c r="W889" s="112">
        <v>116535</v>
      </c>
      <c r="X889" s="112">
        <v>91315</v>
      </c>
      <c r="Y889" s="112">
        <v>92778</v>
      </c>
      <c r="Z889" s="112">
        <v>169618</v>
      </c>
    </row>
    <row r="890" spans="1:26" ht="18" hidden="1" customHeight="1" x14ac:dyDescent="0.2">
      <c r="A890" s="47">
        <f t="shared" si="366"/>
        <v>43741</v>
      </c>
      <c r="B890" s="47" t="s">
        <v>99</v>
      </c>
      <c r="C890" s="48">
        <f t="shared" ref="C890" si="402">(V891-V890)*1+(W891-W890)*32+(X891-X890)*12+(Y891-Y890)*6</f>
        <v>1963</v>
      </c>
      <c r="D890" s="99">
        <f t="shared" si="324"/>
        <v>1368</v>
      </c>
      <c r="E890" s="45">
        <f t="shared" si="325"/>
        <v>1096.9999999999563</v>
      </c>
      <c r="F890" s="45">
        <f t="shared" ref="F890" si="403">(Z891-Z890)*1</f>
        <v>89</v>
      </c>
      <c r="G890" s="79">
        <f t="shared" ref="G890" si="404">C890+D890+F890+E890</f>
        <v>4516.9999999999563</v>
      </c>
      <c r="H890" s="199">
        <v>3864</v>
      </c>
      <c r="I890" s="199">
        <v>830</v>
      </c>
      <c r="J890" s="200">
        <f t="shared" si="397"/>
        <v>4694</v>
      </c>
      <c r="K890" s="201">
        <f t="shared" si="398"/>
        <v>177.00000000004366</v>
      </c>
      <c r="L890" s="43"/>
      <c r="N890" s="112">
        <v>166177</v>
      </c>
      <c r="O890" s="112">
        <v>890184</v>
      </c>
      <c r="P890" s="112">
        <v>7773</v>
      </c>
      <c r="Q890" s="112"/>
      <c r="R890" s="112">
        <v>33761</v>
      </c>
      <c r="S890" s="113">
        <v>7282.1</v>
      </c>
      <c r="T890" s="113"/>
      <c r="U890" s="113"/>
      <c r="V890" s="112">
        <v>232241</v>
      </c>
      <c r="W890" s="112">
        <v>116571</v>
      </c>
      <c r="X890" s="112">
        <v>91356</v>
      </c>
      <c r="Y890" s="112">
        <v>92778</v>
      </c>
      <c r="Z890" s="112">
        <v>169690</v>
      </c>
    </row>
    <row r="891" spans="1:26" ht="18" hidden="1" customHeight="1" x14ac:dyDescent="0.2">
      <c r="A891" s="47">
        <f t="shared" si="366"/>
        <v>43742</v>
      </c>
      <c r="B891" s="47" t="s">
        <v>100</v>
      </c>
      <c r="C891" s="48">
        <f t="shared" ref="C891" si="405">(V892-V891)*1+(W892-W891)*32+(X892-X891)*12+(Y892-Y891)*6</f>
        <v>1896</v>
      </c>
      <c r="D891" s="99">
        <f t="shared" si="324"/>
        <v>1464</v>
      </c>
      <c r="E891" s="45">
        <f t="shared" si="325"/>
        <v>1264.0000000000218</v>
      </c>
      <c r="F891" s="45">
        <f t="shared" ref="F891" si="406">(Z892-Z891)*1</f>
        <v>92</v>
      </c>
      <c r="G891" s="79">
        <f t="shared" ref="G891" si="407">C891+D891+F891+E891</f>
        <v>4716.0000000000218</v>
      </c>
      <c r="H891" s="199">
        <v>3922</v>
      </c>
      <c r="I891" s="199">
        <v>812</v>
      </c>
      <c r="J891" s="200">
        <f t="shared" si="397"/>
        <v>4734</v>
      </c>
      <c r="K891" s="201">
        <f t="shared" si="398"/>
        <v>17.999999999978172</v>
      </c>
      <c r="L891" s="43"/>
      <c r="N891" s="112">
        <v>166337</v>
      </c>
      <c r="O891" s="112">
        <v>890242</v>
      </c>
      <c r="P891" s="112">
        <v>7784</v>
      </c>
      <c r="Q891" s="112"/>
      <c r="R891" s="112">
        <v>33790</v>
      </c>
      <c r="S891" s="113">
        <v>7291</v>
      </c>
      <c r="T891" s="113"/>
      <c r="U891" s="113"/>
      <c r="V891" s="112">
        <v>232440</v>
      </c>
      <c r="W891" s="112">
        <v>116610</v>
      </c>
      <c r="X891" s="112">
        <v>91399</v>
      </c>
      <c r="Y891" s="112">
        <v>92778</v>
      </c>
      <c r="Z891" s="112">
        <v>169779</v>
      </c>
    </row>
    <row r="892" spans="1:26" ht="18" hidden="1" customHeight="1" x14ac:dyDescent="0.2">
      <c r="A892" s="47">
        <f t="shared" si="366"/>
        <v>43743</v>
      </c>
      <c r="B892" s="56" t="s">
        <v>103</v>
      </c>
      <c r="C892" s="48">
        <f t="shared" ref="C892:C893" si="408">(V893-V892)*1+(W893-W892)*32+(X893-X892)*12+(Y893-Y892)*6</f>
        <v>0</v>
      </c>
      <c r="D892" s="99">
        <f t="shared" si="324"/>
        <v>0</v>
      </c>
      <c r="E892" s="45">
        <f t="shared" si="325"/>
        <v>0</v>
      </c>
      <c r="F892" s="45">
        <f t="shared" ref="F892:F893" si="409">(Z893-Z892)*1</f>
        <v>0</v>
      </c>
      <c r="G892" s="79">
        <f t="shared" ref="G892:G893" si="410">C892+D892+F892+E892</f>
        <v>0</v>
      </c>
      <c r="H892" s="199">
        <v>0</v>
      </c>
      <c r="I892" s="199">
        <f>819+2685</f>
        <v>3504</v>
      </c>
      <c r="J892" s="200">
        <f t="shared" si="397"/>
        <v>3504</v>
      </c>
      <c r="K892" s="201">
        <f t="shared" si="398"/>
        <v>3504</v>
      </c>
      <c r="L892" s="43"/>
      <c r="N892" s="112">
        <v>166507</v>
      </c>
      <c r="O892" s="112">
        <v>890305</v>
      </c>
      <c r="P892" s="112">
        <v>7797</v>
      </c>
      <c r="Q892" s="112"/>
      <c r="R892" s="112">
        <v>33818</v>
      </c>
      <c r="S892" s="113">
        <v>7301.3</v>
      </c>
      <c r="T892" s="113"/>
      <c r="U892" s="113"/>
      <c r="V892" s="112">
        <v>232616</v>
      </c>
      <c r="W892" s="112">
        <v>116648</v>
      </c>
      <c r="X892" s="112">
        <v>91441</v>
      </c>
      <c r="Y892" s="112">
        <v>92778</v>
      </c>
      <c r="Z892" s="112">
        <v>169871</v>
      </c>
    </row>
    <row r="893" spans="1:26" ht="18" hidden="1" customHeight="1" x14ac:dyDescent="0.2">
      <c r="A893" s="47">
        <f t="shared" si="366"/>
        <v>43744</v>
      </c>
      <c r="B893" s="56" t="s">
        <v>104</v>
      </c>
      <c r="C893" s="48">
        <f t="shared" si="408"/>
        <v>911</v>
      </c>
      <c r="D893" s="99">
        <f t="shared" si="324"/>
        <v>2536</v>
      </c>
      <c r="E893" s="45">
        <f t="shared" si="325"/>
        <v>2804.9999999999563</v>
      </c>
      <c r="F893" s="45">
        <f t="shared" si="409"/>
        <v>144</v>
      </c>
      <c r="G893" s="79">
        <f t="shared" si="410"/>
        <v>6395.9999999999563</v>
      </c>
      <c r="H893" s="199">
        <v>0</v>
      </c>
      <c r="I893" s="199">
        <v>3204</v>
      </c>
      <c r="J893" s="200">
        <f t="shared" si="397"/>
        <v>3204</v>
      </c>
      <c r="K893" s="201">
        <f t="shared" si="398"/>
        <v>-3191.9999999999563</v>
      </c>
      <c r="L893" s="43"/>
      <c r="N893" s="153">
        <v>166507</v>
      </c>
      <c r="O893" s="153">
        <v>890305</v>
      </c>
      <c r="P893" s="153">
        <v>7797</v>
      </c>
      <c r="Q893" s="153"/>
      <c r="R893" s="153">
        <v>33818</v>
      </c>
      <c r="S893" s="154">
        <v>7301.3</v>
      </c>
      <c r="T893" s="154"/>
      <c r="U893" s="154"/>
      <c r="V893" s="153">
        <v>232616</v>
      </c>
      <c r="W893" s="153">
        <v>116648</v>
      </c>
      <c r="X893" s="153">
        <v>91441</v>
      </c>
      <c r="Y893" s="153">
        <v>92778</v>
      </c>
      <c r="Z893" s="153">
        <v>169871</v>
      </c>
    </row>
    <row r="894" spans="1:26" ht="18" hidden="1" customHeight="1" x14ac:dyDescent="0.2">
      <c r="A894" s="47">
        <f t="shared" si="366"/>
        <v>43745</v>
      </c>
      <c r="B894" s="47" t="s">
        <v>96</v>
      </c>
      <c r="C894" s="48">
        <f t="shared" ref="C894" si="411">(V895-V894)*1+(W895-W894)*32+(X895-X894)*12+(Y895-Y894)*6</f>
        <v>2004</v>
      </c>
      <c r="D894" s="99">
        <f t="shared" si="324"/>
        <v>1392</v>
      </c>
      <c r="E894" s="45">
        <f t="shared" si="325"/>
        <v>1458.0000000000655</v>
      </c>
      <c r="F894" s="45">
        <f t="shared" ref="F894" si="412">(Z895-Z894)*1</f>
        <v>82</v>
      </c>
      <c r="G894" s="79">
        <f t="shared" ref="G894" si="413">C894+D894+F894+E894</f>
        <v>4936.0000000000655</v>
      </c>
      <c r="H894" s="199">
        <v>4190</v>
      </c>
      <c r="I894" s="199">
        <v>826</v>
      </c>
      <c r="J894" s="200">
        <f t="shared" si="397"/>
        <v>5016</v>
      </c>
      <c r="K894" s="201">
        <f t="shared" si="398"/>
        <v>79.999999999934516</v>
      </c>
      <c r="L894" s="43"/>
      <c r="N894" s="112">
        <v>166807</v>
      </c>
      <c r="O894" s="112">
        <v>890420</v>
      </c>
      <c r="P894" s="112">
        <v>7814</v>
      </c>
      <c r="Q894" s="112"/>
      <c r="R894" s="112">
        <v>33875</v>
      </c>
      <c r="S894" s="113">
        <v>7324.2</v>
      </c>
      <c r="T894" s="113"/>
      <c r="U894" s="113"/>
      <c r="V894" s="112">
        <v>232875</v>
      </c>
      <c r="W894" s="112">
        <v>116668</v>
      </c>
      <c r="X894" s="112">
        <v>91442</v>
      </c>
      <c r="Y894" s="112">
        <v>92778</v>
      </c>
      <c r="Z894" s="112">
        <v>170015</v>
      </c>
    </row>
    <row r="895" spans="1:26" ht="18" hidden="1" customHeight="1" x14ac:dyDescent="0.2">
      <c r="A895" s="47">
        <f t="shared" si="366"/>
        <v>43746</v>
      </c>
      <c r="B895" s="47" t="s">
        <v>97</v>
      </c>
      <c r="C895" s="48">
        <f t="shared" ref="C895" si="414">(V896-V895)*1+(W896-W895)*32+(X896-X895)*12+(Y896-Y895)*6</f>
        <v>2147</v>
      </c>
      <c r="D895" s="99">
        <f t="shared" si="324"/>
        <v>1112</v>
      </c>
      <c r="E895" s="45">
        <f t="shared" si="325"/>
        <v>1346</v>
      </c>
      <c r="F895" s="45">
        <f t="shared" ref="F895" si="415">(Z896-Z895)*1</f>
        <v>80</v>
      </c>
      <c r="G895" s="79">
        <f t="shared" ref="G895" si="416">C895+D895+F895+E895</f>
        <v>4685</v>
      </c>
      <c r="H895" s="199">
        <v>4137</v>
      </c>
      <c r="I895" s="199">
        <v>792</v>
      </c>
      <c r="J895" s="200">
        <f t="shared" si="397"/>
        <v>4929</v>
      </c>
      <c r="K895" s="201">
        <f t="shared" si="398"/>
        <v>244</v>
      </c>
      <c r="L895" s="43"/>
      <c r="N895" s="112">
        <v>166967</v>
      </c>
      <c r="O895" s="112">
        <v>890478</v>
      </c>
      <c r="P895" s="112">
        <v>7828</v>
      </c>
      <c r="Q895" s="112"/>
      <c r="R895" s="112">
        <v>33905</v>
      </c>
      <c r="S895" s="113">
        <v>7336.1</v>
      </c>
      <c r="T895" s="113"/>
      <c r="U895" s="113"/>
      <c r="V895" s="112">
        <v>233067</v>
      </c>
      <c r="W895" s="112">
        <v>116704</v>
      </c>
      <c r="X895" s="112">
        <v>91497</v>
      </c>
      <c r="Y895" s="112">
        <v>92778</v>
      </c>
      <c r="Z895" s="112">
        <v>170097</v>
      </c>
    </row>
    <row r="896" spans="1:26" ht="18" hidden="1" customHeight="1" x14ac:dyDescent="0.2">
      <c r="A896" s="47">
        <f t="shared" si="366"/>
        <v>43747</v>
      </c>
      <c r="B896" s="47" t="s">
        <v>98</v>
      </c>
      <c r="C896" s="48">
        <f t="shared" ref="C896:C900" si="417">(V897-V896)*1+(W897-W896)*32+(X897-X896)*12+(Y897-Y896)*6</f>
        <v>0</v>
      </c>
      <c r="D896" s="99">
        <f t="shared" si="324"/>
        <v>0</v>
      </c>
      <c r="E896" s="45">
        <f t="shared" si="325"/>
        <v>0</v>
      </c>
      <c r="F896" s="45">
        <f t="shared" ref="F896:F900" si="418">(Z897-Z896)*1</f>
        <v>0</v>
      </c>
      <c r="G896" s="79">
        <f t="shared" ref="G896:G900" si="419">C896+D896+F896+E896</f>
        <v>0</v>
      </c>
      <c r="H896" s="199">
        <v>3853</v>
      </c>
      <c r="I896" s="199">
        <v>746</v>
      </c>
      <c r="J896" s="200">
        <f t="shared" si="397"/>
        <v>4599</v>
      </c>
      <c r="K896" s="201">
        <f t="shared" si="398"/>
        <v>4599</v>
      </c>
      <c r="L896" s="43"/>
      <c r="N896" s="112">
        <v>167097</v>
      </c>
      <c r="O896" s="112">
        <v>890528</v>
      </c>
      <c r="P896" s="112">
        <v>7837</v>
      </c>
      <c r="Q896" s="112"/>
      <c r="R896" s="112">
        <v>33931</v>
      </c>
      <c r="S896" s="113">
        <v>7347.1</v>
      </c>
      <c r="T896" s="113"/>
      <c r="U896" s="113"/>
      <c r="V896" s="112">
        <v>233262</v>
      </c>
      <c r="W896" s="112">
        <v>116741</v>
      </c>
      <c r="X896" s="112">
        <v>91561</v>
      </c>
      <c r="Y896" s="112">
        <v>92778</v>
      </c>
      <c r="Z896" s="112">
        <v>170177</v>
      </c>
    </row>
    <row r="897" spans="1:26" ht="18" hidden="1" customHeight="1" x14ac:dyDescent="0.2">
      <c r="A897" s="56">
        <f t="shared" si="366"/>
        <v>43748</v>
      </c>
      <c r="B897" s="56" t="s">
        <v>144</v>
      </c>
      <c r="C897" s="48">
        <f t="shared" si="417"/>
        <v>0</v>
      </c>
      <c r="D897" s="99">
        <f t="shared" si="324"/>
        <v>0</v>
      </c>
      <c r="E897" s="45">
        <f t="shared" si="325"/>
        <v>0</v>
      </c>
      <c r="F897" s="45">
        <f t="shared" si="418"/>
        <v>0</v>
      </c>
      <c r="G897" s="79">
        <f t="shared" si="419"/>
        <v>0</v>
      </c>
      <c r="H897" s="199">
        <v>0</v>
      </c>
      <c r="I897" s="199">
        <v>3068</v>
      </c>
      <c r="J897" s="200">
        <f t="shared" si="397"/>
        <v>3068</v>
      </c>
      <c r="K897" s="201">
        <f t="shared" si="398"/>
        <v>3068</v>
      </c>
      <c r="L897" s="43"/>
      <c r="N897" s="153">
        <v>167097</v>
      </c>
      <c r="O897" s="153">
        <v>890528</v>
      </c>
      <c r="P897" s="153">
        <v>7837</v>
      </c>
      <c r="Q897" s="153"/>
      <c r="R897" s="153">
        <v>33931</v>
      </c>
      <c r="S897" s="154">
        <v>7347.1</v>
      </c>
      <c r="T897" s="154"/>
      <c r="U897" s="154"/>
      <c r="V897" s="153">
        <v>233262</v>
      </c>
      <c r="W897" s="153">
        <v>116741</v>
      </c>
      <c r="X897" s="153">
        <v>91561</v>
      </c>
      <c r="Y897" s="153">
        <v>92778</v>
      </c>
      <c r="Z897" s="153">
        <v>170177</v>
      </c>
    </row>
    <row r="898" spans="1:26" ht="18" hidden="1" customHeight="1" x14ac:dyDescent="0.2">
      <c r="A898" s="47">
        <f t="shared" si="366"/>
        <v>43749</v>
      </c>
      <c r="B898" s="47" t="s">
        <v>100</v>
      </c>
      <c r="C898" s="48">
        <f t="shared" si="417"/>
        <v>0</v>
      </c>
      <c r="D898" s="99">
        <f t="shared" si="324"/>
        <v>0</v>
      </c>
      <c r="E898" s="45">
        <f t="shared" si="325"/>
        <v>0</v>
      </c>
      <c r="F898" s="45">
        <f t="shared" si="418"/>
        <v>0</v>
      </c>
      <c r="G898" s="79">
        <f t="shared" si="419"/>
        <v>0</v>
      </c>
      <c r="H898" s="199">
        <v>2436</v>
      </c>
      <c r="I898" s="199">
        <v>730</v>
      </c>
      <c r="J898" s="200">
        <f t="shared" si="397"/>
        <v>3166</v>
      </c>
      <c r="K898" s="201">
        <f t="shared" si="398"/>
        <v>3166</v>
      </c>
      <c r="L898" s="43"/>
      <c r="N898" s="153">
        <v>167097</v>
      </c>
      <c r="O898" s="153">
        <v>890528</v>
      </c>
      <c r="P898" s="153">
        <v>7837</v>
      </c>
      <c r="Q898" s="153"/>
      <c r="R898" s="153">
        <v>33931</v>
      </c>
      <c r="S898" s="154">
        <v>7347.1</v>
      </c>
      <c r="T898" s="154"/>
      <c r="U898" s="154"/>
      <c r="V898" s="153">
        <v>233262</v>
      </c>
      <c r="W898" s="153">
        <v>116741</v>
      </c>
      <c r="X898" s="153">
        <v>91561</v>
      </c>
      <c r="Y898" s="153">
        <v>92778</v>
      </c>
      <c r="Z898" s="153">
        <v>170177</v>
      </c>
    </row>
    <row r="899" spans="1:26" ht="18" hidden="1" customHeight="1" x14ac:dyDescent="0.2">
      <c r="A899" s="47">
        <f t="shared" si="366"/>
        <v>43750</v>
      </c>
      <c r="B899" s="56" t="s">
        <v>103</v>
      </c>
      <c r="C899" s="48">
        <f t="shared" si="417"/>
        <v>0</v>
      </c>
      <c r="D899" s="99">
        <f t="shared" si="324"/>
        <v>0</v>
      </c>
      <c r="E899" s="45">
        <f t="shared" si="325"/>
        <v>0</v>
      </c>
      <c r="F899" s="45">
        <f t="shared" si="418"/>
        <v>0</v>
      </c>
      <c r="G899" s="79">
        <f t="shared" si="419"/>
        <v>0</v>
      </c>
      <c r="H899" s="199">
        <v>0</v>
      </c>
      <c r="I899" s="199">
        <f>748+2702</f>
        <v>3450</v>
      </c>
      <c r="J899" s="200">
        <f t="shared" si="397"/>
        <v>3450</v>
      </c>
      <c r="K899" s="201">
        <f t="shared" si="398"/>
        <v>3450</v>
      </c>
      <c r="L899" s="43"/>
      <c r="N899" s="153">
        <v>167097</v>
      </c>
      <c r="O899" s="153">
        <v>890528</v>
      </c>
      <c r="P899" s="153">
        <v>7837</v>
      </c>
      <c r="Q899" s="153"/>
      <c r="R899" s="153">
        <v>33931</v>
      </c>
      <c r="S899" s="154">
        <v>7347.1</v>
      </c>
      <c r="T899" s="154"/>
      <c r="U899" s="154"/>
      <c r="V899" s="153">
        <v>233262</v>
      </c>
      <c r="W899" s="153">
        <v>116741</v>
      </c>
      <c r="X899" s="153">
        <v>91561</v>
      </c>
      <c r="Y899" s="153">
        <v>92778</v>
      </c>
      <c r="Z899" s="153">
        <v>170177</v>
      </c>
    </row>
    <row r="900" spans="1:26" ht="18" hidden="1" customHeight="1" x14ac:dyDescent="0.2">
      <c r="A900" s="47">
        <f t="shared" si="366"/>
        <v>43751</v>
      </c>
      <c r="B900" s="56" t="s">
        <v>104</v>
      </c>
      <c r="C900" s="48">
        <f t="shared" si="417"/>
        <v>3381</v>
      </c>
      <c r="D900" s="99">
        <f t="shared" si="324"/>
        <v>6488</v>
      </c>
      <c r="E900" s="45">
        <f t="shared" si="325"/>
        <v>6652.9999999999127</v>
      </c>
      <c r="F900" s="45">
        <f t="shared" si="418"/>
        <v>404</v>
      </c>
      <c r="G900" s="79">
        <f t="shared" si="419"/>
        <v>16925.999999999913</v>
      </c>
      <c r="H900" s="199">
        <v>0</v>
      </c>
      <c r="I900" s="199">
        <v>3356</v>
      </c>
      <c r="J900" s="200">
        <f t="shared" si="397"/>
        <v>3356</v>
      </c>
      <c r="K900" s="201">
        <f t="shared" si="398"/>
        <v>-13569.999999999913</v>
      </c>
      <c r="L900" s="43"/>
      <c r="N900" s="153">
        <v>167097</v>
      </c>
      <c r="O900" s="153">
        <v>890528</v>
      </c>
      <c r="P900" s="153">
        <v>7837</v>
      </c>
      <c r="Q900" s="153"/>
      <c r="R900" s="153">
        <v>33931</v>
      </c>
      <c r="S900" s="154">
        <v>7347.1</v>
      </c>
      <c r="T900" s="154"/>
      <c r="U900" s="154"/>
      <c r="V900" s="153">
        <v>233262</v>
      </c>
      <c r="W900" s="153">
        <v>116741</v>
      </c>
      <c r="X900" s="153">
        <v>91561</v>
      </c>
      <c r="Y900" s="153">
        <v>92778</v>
      </c>
      <c r="Z900" s="153">
        <v>170177</v>
      </c>
    </row>
    <row r="901" spans="1:26" ht="18" hidden="1" customHeight="1" x14ac:dyDescent="0.2">
      <c r="A901" s="47">
        <f t="shared" si="366"/>
        <v>43752</v>
      </c>
      <c r="B901" s="47" t="s">
        <v>96</v>
      </c>
      <c r="C901" s="48">
        <f t="shared" ref="C901" si="420">(V902-V901)*1+(W902-W901)*32+(X902-X901)*12+(Y902-Y901)*6</f>
        <v>1860</v>
      </c>
      <c r="D901" s="99">
        <f t="shared" si="324"/>
        <v>1544</v>
      </c>
      <c r="E901" s="45">
        <f t="shared" si="325"/>
        <v>1589</v>
      </c>
      <c r="F901" s="45">
        <f t="shared" ref="F901" si="421">(Z902-Z901)*1</f>
        <v>81</v>
      </c>
      <c r="G901" s="79">
        <f t="shared" ref="G901" si="422">C901+D901+F901+E901</f>
        <v>5074</v>
      </c>
      <c r="H901" s="199">
        <v>4330</v>
      </c>
      <c r="I901" s="199">
        <v>898</v>
      </c>
      <c r="J901" s="200">
        <f t="shared" si="397"/>
        <v>5228</v>
      </c>
      <c r="K901" s="201">
        <f t="shared" si="398"/>
        <v>154</v>
      </c>
      <c r="L901" s="43"/>
      <c r="N901" s="112">
        <v>167866</v>
      </c>
      <c r="O901" s="112">
        <v>890824</v>
      </c>
      <c r="P901" s="112">
        <v>7879</v>
      </c>
      <c r="Q901" s="112"/>
      <c r="R901" s="112">
        <v>34068</v>
      </c>
      <c r="S901" s="113">
        <v>7401.4</v>
      </c>
      <c r="T901" s="113"/>
      <c r="U901" s="113"/>
      <c r="V901" s="112">
        <v>233871</v>
      </c>
      <c r="W901" s="112">
        <v>116810</v>
      </c>
      <c r="X901" s="112">
        <v>91608</v>
      </c>
      <c r="Y901" s="112">
        <v>92778</v>
      </c>
      <c r="Z901" s="112">
        <v>170581</v>
      </c>
    </row>
    <row r="902" spans="1:26" ht="18" hidden="1" customHeight="1" x14ac:dyDescent="0.2">
      <c r="A902" s="47">
        <f t="shared" si="366"/>
        <v>43753</v>
      </c>
      <c r="B902" s="47" t="s">
        <v>97</v>
      </c>
      <c r="C902" s="48">
        <f t="shared" ref="C902" si="423">(V903-V902)*1+(W903-W902)*32+(X903-X902)*12+(Y903-Y902)*6</f>
        <v>1634</v>
      </c>
      <c r="D902" s="99">
        <f t="shared" si="324"/>
        <v>1520</v>
      </c>
      <c r="E902" s="45">
        <f t="shared" si="325"/>
        <v>1191.0000000000873</v>
      </c>
      <c r="F902" s="45">
        <f t="shared" ref="F902" si="424">(Z903-Z902)*1</f>
        <v>59</v>
      </c>
      <c r="G902" s="79">
        <f t="shared" ref="G902" si="425">C902+D902+F902+E902</f>
        <v>4404.0000000000873</v>
      </c>
      <c r="H902" s="199">
        <v>3634</v>
      </c>
      <c r="I902" s="199">
        <v>888</v>
      </c>
      <c r="J902" s="200">
        <f t="shared" si="397"/>
        <v>4522</v>
      </c>
      <c r="K902" s="201">
        <f t="shared" si="398"/>
        <v>117.99999999991269</v>
      </c>
      <c r="L902" s="43"/>
      <c r="N902" s="112">
        <v>168047</v>
      </c>
      <c r="O902" s="112">
        <v>890892</v>
      </c>
      <c r="P902" s="112">
        <v>7891</v>
      </c>
      <c r="Q902" s="112"/>
      <c r="R902" s="112">
        <v>34097</v>
      </c>
      <c r="S902" s="113">
        <v>7414.4</v>
      </c>
      <c r="T902" s="113"/>
      <c r="U902" s="113"/>
      <c r="V902" s="112">
        <v>234055</v>
      </c>
      <c r="W902" s="112">
        <v>116841</v>
      </c>
      <c r="X902" s="112">
        <v>91665</v>
      </c>
      <c r="Y902" s="112">
        <v>92778</v>
      </c>
      <c r="Z902" s="112">
        <v>170662</v>
      </c>
    </row>
    <row r="903" spans="1:26" ht="18" hidden="1" customHeight="1" x14ac:dyDescent="0.2">
      <c r="A903" s="47">
        <f t="shared" si="366"/>
        <v>43754</v>
      </c>
      <c r="B903" s="47" t="s">
        <v>98</v>
      </c>
      <c r="C903" s="48">
        <f t="shared" ref="C903" si="426">(V904-V903)*1+(W904-W903)*32+(X904-X903)*12+(Y904-Y903)*6</f>
        <v>1702</v>
      </c>
      <c r="D903" s="99">
        <f t="shared" si="324"/>
        <v>1560</v>
      </c>
      <c r="E903" s="45">
        <f t="shared" si="325"/>
        <v>1072.9999999999782</v>
      </c>
      <c r="F903" s="45">
        <f t="shared" ref="F903" si="427">(Z904-Z903)*1</f>
        <v>60</v>
      </c>
      <c r="G903" s="79">
        <f t="shared" ref="G903" si="428">C903+D903+F903+E903</f>
        <v>4394.9999999999782</v>
      </c>
      <c r="H903" s="199">
        <v>3677</v>
      </c>
      <c r="I903" s="199">
        <v>831</v>
      </c>
      <c r="J903" s="200">
        <f t="shared" si="397"/>
        <v>4508</v>
      </c>
      <c r="K903" s="201">
        <f t="shared" si="398"/>
        <v>113.00000000002183</v>
      </c>
      <c r="L903" s="43"/>
      <c r="N903" s="112">
        <v>168227</v>
      </c>
      <c r="O903" s="112">
        <v>890957</v>
      </c>
      <c r="P903" s="112">
        <v>7901</v>
      </c>
      <c r="Q903" s="112"/>
      <c r="R903" s="112">
        <v>34124</v>
      </c>
      <c r="S903" s="113">
        <v>7424.1</v>
      </c>
      <c r="T903" s="113"/>
      <c r="U903" s="113"/>
      <c r="V903" s="112">
        <v>234217</v>
      </c>
      <c r="W903" s="112">
        <v>116869</v>
      </c>
      <c r="X903" s="112">
        <v>91713</v>
      </c>
      <c r="Y903" s="112">
        <v>92778</v>
      </c>
      <c r="Z903" s="112">
        <v>170721</v>
      </c>
    </row>
    <row r="904" spans="1:26" ht="18" hidden="1" customHeight="1" x14ac:dyDescent="0.2">
      <c r="A904" s="47">
        <f t="shared" si="366"/>
        <v>43755</v>
      </c>
      <c r="B904" s="47" t="s">
        <v>99</v>
      </c>
      <c r="C904" s="48">
        <f t="shared" ref="C904" si="429">(V905-V904)*1+(W905-W904)*32+(X905-X904)*12+(Y905-Y904)*6</f>
        <v>1879</v>
      </c>
      <c r="D904" s="99">
        <f t="shared" si="324"/>
        <v>1512</v>
      </c>
      <c r="E904" s="45">
        <f t="shared" si="325"/>
        <v>1085.0000000000218</v>
      </c>
      <c r="F904" s="45">
        <f t="shared" ref="F904" si="430">(Z905-Z904)*1</f>
        <v>74</v>
      </c>
      <c r="G904" s="79">
        <f t="shared" ref="G904" si="431">C904+D904+F904+E904</f>
        <v>4550.0000000000218</v>
      </c>
      <c r="H904" s="199">
        <v>3838</v>
      </c>
      <c r="I904" s="199">
        <v>832</v>
      </c>
      <c r="J904" s="200">
        <f t="shared" si="397"/>
        <v>4670</v>
      </c>
      <c r="K904" s="201">
        <f t="shared" si="398"/>
        <v>119.99999999997817</v>
      </c>
      <c r="L904" s="43"/>
      <c r="N904" s="112">
        <v>168407</v>
      </c>
      <c r="O904" s="112">
        <v>891026</v>
      </c>
      <c r="P904" s="112">
        <v>7916</v>
      </c>
      <c r="Q904" s="112"/>
      <c r="R904" s="112">
        <v>34153</v>
      </c>
      <c r="S904" s="113">
        <v>7432.8</v>
      </c>
      <c r="T904" s="113"/>
      <c r="U904" s="113"/>
      <c r="V904" s="112">
        <v>234383</v>
      </c>
      <c r="W904" s="112">
        <v>116896</v>
      </c>
      <c r="X904" s="112">
        <v>91769</v>
      </c>
      <c r="Y904" s="112">
        <v>92778</v>
      </c>
      <c r="Z904" s="112">
        <v>170781</v>
      </c>
    </row>
    <row r="905" spans="1:26" ht="18" hidden="1" customHeight="1" x14ac:dyDescent="0.2">
      <c r="A905" s="47">
        <f t="shared" si="366"/>
        <v>43756</v>
      </c>
      <c r="B905" s="47" t="s">
        <v>100</v>
      </c>
      <c r="C905" s="48">
        <f t="shared" ref="C905:C907" si="432">(V906-V905)*1+(W906-W905)*32+(X906-X905)*12+(Y906-Y905)*6</f>
        <v>0</v>
      </c>
      <c r="D905" s="99">
        <f t="shared" si="324"/>
        <v>0</v>
      </c>
      <c r="E905" s="45">
        <f t="shared" si="325"/>
        <v>0</v>
      </c>
      <c r="F905" s="45">
        <f t="shared" ref="F905:F907" si="433">(Z906-Z905)*1</f>
        <v>0</v>
      </c>
      <c r="G905" s="79">
        <f t="shared" ref="G905:G907" si="434">C905+D905+F905+E905</f>
        <v>0</v>
      </c>
      <c r="H905" s="199">
        <v>3977</v>
      </c>
      <c r="I905" s="199">
        <v>853</v>
      </c>
      <c r="J905" s="200">
        <f t="shared" si="397"/>
        <v>4830</v>
      </c>
      <c r="K905" s="201">
        <f t="shared" si="398"/>
        <v>4830</v>
      </c>
      <c r="L905" s="43"/>
      <c r="N905" s="112">
        <v>168587</v>
      </c>
      <c r="O905" s="112">
        <v>891095</v>
      </c>
      <c r="P905" s="112">
        <v>7925</v>
      </c>
      <c r="Q905" s="112"/>
      <c r="R905" s="112">
        <v>34182</v>
      </c>
      <c r="S905" s="113">
        <v>7441.6</v>
      </c>
      <c r="T905" s="113"/>
      <c r="U905" s="113"/>
      <c r="V905" s="112">
        <v>234558</v>
      </c>
      <c r="W905" s="112">
        <v>116926</v>
      </c>
      <c r="X905" s="112">
        <v>91831</v>
      </c>
      <c r="Y905" s="112">
        <v>92778</v>
      </c>
      <c r="Z905" s="112">
        <v>170855</v>
      </c>
    </row>
    <row r="906" spans="1:26" ht="18" hidden="1" customHeight="1" x14ac:dyDescent="0.2">
      <c r="A906" s="47">
        <f t="shared" si="366"/>
        <v>43757</v>
      </c>
      <c r="B906" s="56" t="s">
        <v>103</v>
      </c>
      <c r="C906" s="48">
        <f t="shared" si="432"/>
        <v>0</v>
      </c>
      <c r="D906" s="99">
        <f t="shared" si="324"/>
        <v>0</v>
      </c>
      <c r="E906" s="45">
        <f t="shared" si="325"/>
        <v>0</v>
      </c>
      <c r="F906" s="45">
        <f t="shared" si="433"/>
        <v>0</v>
      </c>
      <c r="G906" s="79">
        <f t="shared" si="434"/>
        <v>0</v>
      </c>
      <c r="H906" s="199">
        <v>0</v>
      </c>
      <c r="I906" s="199">
        <f>751+2431</f>
        <v>3182</v>
      </c>
      <c r="J906" s="200">
        <f t="shared" si="397"/>
        <v>3182</v>
      </c>
      <c r="K906" s="201">
        <f t="shared" si="398"/>
        <v>3182</v>
      </c>
      <c r="L906" s="43"/>
      <c r="N906" s="153">
        <v>168587</v>
      </c>
      <c r="O906" s="153">
        <v>891095</v>
      </c>
      <c r="P906" s="153">
        <v>7925</v>
      </c>
      <c r="Q906" s="153"/>
      <c r="R906" s="153">
        <v>34182</v>
      </c>
      <c r="S906" s="154">
        <v>7441.6</v>
      </c>
      <c r="T906" s="154"/>
      <c r="U906" s="154"/>
      <c r="V906" s="153">
        <v>234558</v>
      </c>
      <c r="W906" s="153">
        <v>116926</v>
      </c>
      <c r="X906" s="153">
        <v>91831</v>
      </c>
      <c r="Y906" s="153">
        <v>92778</v>
      </c>
      <c r="Z906" s="153">
        <v>170855</v>
      </c>
    </row>
    <row r="907" spans="1:26" ht="18" hidden="1" customHeight="1" x14ac:dyDescent="0.2">
      <c r="A907" s="47">
        <f t="shared" si="366"/>
        <v>43758</v>
      </c>
      <c r="B907" s="56" t="s">
        <v>104</v>
      </c>
      <c r="C907" s="48">
        <f t="shared" si="432"/>
        <v>2790</v>
      </c>
      <c r="D907" s="99">
        <f t="shared" si="324"/>
        <v>3960</v>
      </c>
      <c r="E907" s="45">
        <f t="shared" si="325"/>
        <v>4124.9999999999345</v>
      </c>
      <c r="F907" s="45">
        <f t="shared" si="433"/>
        <v>196</v>
      </c>
      <c r="G907" s="79">
        <f t="shared" si="434"/>
        <v>11070.999999999935</v>
      </c>
      <c r="H907" s="199">
        <v>0</v>
      </c>
      <c r="I907" s="199">
        <v>3363</v>
      </c>
      <c r="J907" s="200">
        <f t="shared" si="397"/>
        <v>3363</v>
      </c>
      <c r="K907" s="201">
        <f t="shared" si="398"/>
        <v>-7707.9999999999345</v>
      </c>
      <c r="L907" s="43"/>
      <c r="N907" s="153">
        <v>168587</v>
      </c>
      <c r="O907" s="153">
        <v>891095</v>
      </c>
      <c r="P907" s="153">
        <v>7925</v>
      </c>
      <c r="Q907" s="153"/>
      <c r="R907" s="153">
        <v>34182</v>
      </c>
      <c r="S907" s="154">
        <v>7441.6</v>
      </c>
      <c r="T907" s="154"/>
      <c r="U907" s="154"/>
      <c r="V907" s="153">
        <v>234558</v>
      </c>
      <c r="W907" s="153">
        <v>116926</v>
      </c>
      <c r="X907" s="153">
        <v>91831</v>
      </c>
      <c r="Y907" s="153">
        <v>92778</v>
      </c>
      <c r="Z907" s="153">
        <v>170855</v>
      </c>
    </row>
    <row r="908" spans="1:26" ht="18" hidden="1" customHeight="1" x14ac:dyDescent="0.2">
      <c r="A908" s="47">
        <f t="shared" si="366"/>
        <v>43759</v>
      </c>
      <c r="B908" s="47" t="s">
        <v>96</v>
      </c>
      <c r="C908" s="48">
        <f t="shared" ref="C908" si="435">(V909-V908)*1+(W909-W908)*32+(X909-X908)*12+(Y909-Y908)*6</f>
        <v>1762</v>
      </c>
      <c r="D908" s="99">
        <f t="shared" si="324"/>
        <v>1672</v>
      </c>
      <c r="E908" s="45">
        <f t="shared" si="325"/>
        <v>1569.0000000000218</v>
      </c>
      <c r="F908" s="45">
        <f t="shared" ref="F908" si="436">(Z909-Z908)*1</f>
        <v>74</v>
      </c>
      <c r="G908" s="79">
        <f t="shared" ref="G908" si="437">C908+D908+F908+E908</f>
        <v>5077.0000000000218</v>
      </c>
      <c r="H908" s="199">
        <v>4208</v>
      </c>
      <c r="I908" s="199">
        <v>912</v>
      </c>
      <c r="J908" s="200">
        <f t="shared" si="397"/>
        <v>5120</v>
      </c>
      <c r="K908" s="201">
        <f t="shared" si="398"/>
        <v>42.999999999978172</v>
      </c>
      <c r="L908" s="43"/>
      <c r="N908" s="112">
        <v>169057</v>
      </c>
      <c r="O908" s="112">
        <v>891273</v>
      </c>
      <c r="P908" s="112">
        <v>7950</v>
      </c>
      <c r="Q908" s="112"/>
      <c r="R908" s="112">
        <v>34275</v>
      </c>
      <c r="S908" s="113">
        <v>7475.2</v>
      </c>
      <c r="T908" s="113"/>
      <c r="U908" s="113"/>
      <c r="V908" s="112">
        <v>234948</v>
      </c>
      <c r="W908" s="112">
        <v>116974</v>
      </c>
      <c r="X908" s="112">
        <v>91903</v>
      </c>
      <c r="Y908" s="112">
        <v>92778</v>
      </c>
      <c r="Z908" s="112">
        <v>171051</v>
      </c>
    </row>
    <row r="909" spans="1:26" ht="18" hidden="1" customHeight="1" x14ac:dyDescent="0.2">
      <c r="A909" s="47">
        <f t="shared" si="366"/>
        <v>43760</v>
      </c>
      <c r="B909" s="47" t="s">
        <v>97</v>
      </c>
      <c r="C909" s="48">
        <f t="shared" ref="C909" si="438">(V910-V909)*1+(W910-W909)*32+(X910-X909)*12+(Y910-Y909)*6</f>
        <v>2089</v>
      </c>
      <c r="D909" s="99">
        <f t="shared" si="324"/>
        <v>1536</v>
      </c>
      <c r="E909" s="45">
        <f t="shared" si="325"/>
        <v>1424.0000000000437</v>
      </c>
      <c r="F909" s="45">
        <f t="shared" ref="F909" si="439">(Z910-Z909)*1</f>
        <v>79</v>
      </c>
      <c r="G909" s="79">
        <f t="shared" ref="G909" si="440">C909+D909+F909+E909</f>
        <v>5128.0000000000437</v>
      </c>
      <c r="H909" s="199">
        <v>4423</v>
      </c>
      <c r="I909" s="199">
        <v>906</v>
      </c>
      <c r="J909" s="200">
        <f t="shared" si="397"/>
        <v>5329</v>
      </c>
      <c r="K909" s="201">
        <f t="shared" si="398"/>
        <v>200.99999999995634</v>
      </c>
      <c r="L909" s="43"/>
      <c r="N909" s="112">
        <v>169257</v>
      </c>
      <c r="O909" s="112">
        <v>891346</v>
      </c>
      <c r="P909" s="112">
        <v>7959</v>
      </c>
      <c r="Q909" s="112"/>
      <c r="R909" s="112">
        <v>34308</v>
      </c>
      <c r="S909" s="113">
        <v>7488</v>
      </c>
      <c r="T909" s="113"/>
      <c r="U909" s="113"/>
      <c r="V909" s="112">
        <v>235114</v>
      </c>
      <c r="W909" s="112">
        <v>117001</v>
      </c>
      <c r="X909" s="112">
        <v>91964</v>
      </c>
      <c r="Y909" s="112">
        <v>92778</v>
      </c>
      <c r="Z909" s="112">
        <v>171125</v>
      </c>
    </row>
    <row r="910" spans="1:26" ht="18" hidden="1" customHeight="1" x14ac:dyDescent="0.2">
      <c r="A910" s="47">
        <f t="shared" si="366"/>
        <v>43761</v>
      </c>
      <c r="B910" s="47" t="s">
        <v>98</v>
      </c>
      <c r="C910" s="48">
        <f t="shared" ref="C910" si="441">(V911-V910)*1+(W911-W910)*32+(X911-X910)*12+(Y911-Y910)*6</f>
        <v>1948</v>
      </c>
      <c r="D910" s="99">
        <f t="shared" si="324"/>
        <v>1680</v>
      </c>
      <c r="E910" s="45">
        <f t="shared" si="325"/>
        <v>1359.9999999999345</v>
      </c>
      <c r="F910" s="45">
        <f t="shared" ref="F910" si="442">(Z911-Z910)*1</f>
        <v>67</v>
      </c>
      <c r="G910" s="79">
        <f t="shared" ref="G910" si="443">C910+D910+F910+E910</f>
        <v>5054.9999999999345</v>
      </c>
      <c r="H910" s="199">
        <v>4250</v>
      </c>
      <c r="I910" s="199">
        <v>936</v>
      </c>
      <c r="J910" s="200">
        <f t="shared" si="397"/>
        <v>5186</v>
      </c>
      <c r="K910" s="201">
        <f t="shared" si="398"/>
        <v>131.00000000006548</v>
      </c>
      <c r="L910" s="43"/>
      <c r="N910" s="112">
        <v>169437</v>
      </c>
      <c r="O910" s="112">
        <v>891418</v>
      </c>
      <c r="P910" s="112">
        <v>7971</v>
      </c>
      <c r="Q910" s="112"/>
      <c r="R910" s="112">
        <v>34340</v>
      </c>
      <c r="S910" s="113">
        <v>7499.6</v>
      </c>
      <c r="T910" s="113"/>
      <c r="U910" s="113"/>
      <c r="V910" s="112">
        <v>235283</v>
      </c>
      <c r="W910" s="112">
        <v>117034</v>
      </c>
      <c r="X910" s="112">
        <v>92036</v>
      </c>
      <c r="Y910" s="112">
        <v>92778</v>
      </c>
      <c r="Z910" s="112">
        <v>171204</v>
      </c>
    </row>
    <row r="911" spans="1:26" ht="18" hidden="1" customHeight="1" x14ac:dyDescent="0.2">
      <c r="A911" s="47">
        <f t="shared" si="366"/>
        <v>43762</v>
      </c>
      <c r="B911" s="47" t="s">
        <v>99</v>
      </c>
      <c r="C911" s="48">
        <f t="shared" ref="C911:C914" si="444">(V912-V911)*1+(W912-W911)*32+(X912-X911)*12+(Y912-Y911)*6</f>
        <v>0</v>
      </c>
      <c r="D911" s="99">
        <f t="shared" si="324"/>
        <v>0</v>
      </c>
      <c r="E911" s="45">
        <f t="shared" si="325"/>
        <v>0</v>
      </c>
      <c r="F911" s="45">
        <f t="shared" ref="F911:F914" si="445">(Z912-Z911)*1</f>
        <v>0</v>
      </c>
      <c r="G911" s="79">
        <f t="shared" ref="G911:G914" si="446">C911+D911+F911+E911</f>
        <v>0</v>
      </c>
      <c r="H911" s="199">
        <v>4158</v>
      </c>
      <c r="I911" s="199">
        <v>936</v>
      </c>
      <c r="J911" s="200">
        <f t="shared" si="397"/>
        <v>5094</v>
      </c>
      <c r="K911" s="201">
        <f t="shared" si="398"/>
        <v>5094</v>
      </c>
      <c r="L911" s="43"/>
      <c r="N911" s="112">
        <v>169637</v>
      </c>
      <c r="O911" s="112">
        <v>891494</v>
      </c>
      <c r="P911" s="112">
        <v>7981</v>
      </c>
      <c r="Q911" s="112"/>
      <c r="R911" s="112">
        <v>34368</v>
      </c>
      <c r="S911" s="113">
        <v>7510.7</v>
      </c>
      <c r="T911" s="113"/>
      <c r="U911" s="113"/>
      <c r="V911" s="112">
        <v>235471</v>
      </c>
      <c r="W911" s="112">
        <v>117065</v>
      </c>
      <c r="X911" s="112">
        <v>92100</v>
      </c>
      <c r="Y911" s="112">
        <v>92778</v>
      </c>
      <c r="Z911" s="112">
        <v>171271</v>
      </c>
    </row>
    <row r="912" spans="1:26" ht="18" hidden="1" customHeight="1" x14ac:dyDescent="0.2">
      <c r="A912" s="47">
        <f t="shared" si="366"/>
        <v>43763</v>
      </c>
      <c r="B912" s="47" t="s">
        <v>100</v>
      </c>
      <c r="C912" s="48">
        <f t="shared" si="444"/>
        <v>0</v>
      </c>
      <c r="D912" s="99">
        <f t="shared" si="324"/>
        <v>0</v>
      </c>
      <c r="E912" s="45">
        <f t="shared" si="325"/>
        <v>0</v>
      </c>
      <c r="F912" s="45">
        <f t="shared" si="445"/>
        <v>0</v>
      </c>
      <c r="G912" s="79">
        <f t="shared" si="446"/>
        <v>0</v>
      </c>
      <c r="H912" s="199">
        <v>4363</v>
      </c>
      <c r="I912" s="199">
        <v>943</v>
      </c>
      <c r="J912" s="200">
        <f t="shared" si="397"/>
        <v>5306</v>
      </c>
      <c r="K912" s="201">
        <f t="shared" si="398"/>
        <v>5306</v>
      </c>
      <c r="L912" s="43"/>
      <c r="N912" s="153">
        <v>169637</v>
      </c>
      <c r="O912" s="153">
        <v>891494</v>
      </c>
      <c r="P912" s="153">
        <v>7981</v>
      </c>
      <c r="Q912" s="153"/>
      <c r="R912" s="153">
        <v>34368</v>
      </c>
      <c r="S912" s="154">
        <v>7510.7</v>
      </c>
      <c r="T912" s="154"/>
      <c r="U912" s="154"/>
      <c r="V912" s="153">
        <v>235471</v>
      </c>
      <c r="W912" s="153">
        <v>117065</v>
      </c>
      <c r="X912" s="153">
        <v>92100</v>
      </c>
      <c r="Y912" s="153">
        <v>92778</v>
      </c>
      <c r="Z912" s="153">
        <v>171271</v>
      </c>
    </row>
    <row r="913" spans="1:26" ht="18" hidden="1" customHeight="1" x14ac:dyDescent="0.2">
      <c r="A913" s="47">
        <f t="shared" si="366"/>
        <v>43764</v>
      </c>
      <c r="B913" s="56" t="s">
        <v>103</v>
      </c>
      <c r="C913" s="48">
        <f t="shared" si="444"/>
        <v>0</v>
      </c>
      <c r="D913" s="99">
        <f t="shared" si="324"/>
        <v>0</v>
      </c>
      <c r="E913" s="45">
        <f t="shared" si="325"/>
        <v>0</v>
      </c>
      <c r="F913" s="45">
        <f t="shared" si="445"/>
        <v>0</v>
      </c>
      <c r="G913" s="79">
        <f t="shared" si="446"/>
        <v>0</v>
      </c>
      <c r="H913" s="199">
        <v>0</v>
      </c>
      <c r="I913" s="199">
        <v>1013</v>
      </c>
      <c r="J913" s="200">
        <f t="shared" si="397"/>
        <v>1013</v>
      </c>
      <c r="K913" s="201">
        <f t="shared" si="398"/>
        <v>1013</v>
      </c>
      <c r="L913" s="43"/>
      <c r="N913" s="153">
        <v>169637</v>
      </c>
      <c r="O913" s="153">
        <v>891494</v>
      </c>
      <c r="P913" s="153">
        <v>7981</v>
      </c>
      <c r="Q913" s="153"/>
      <c r="R913" s="153">
        <v>34368</v>
      </c>
      <c r="S913" s="154">
        <v>7510.7</v>
      </c>
      <c r="T913" s="154"/>
      <c r="U913" s="154"/>
      <c r="V913" s="153">
        <v>235471</v>
      </c>
      <c r="W913" s="153">
        <v>117065</v>
      </c>
      <c r="X913" s="153">
        <v>92100</v>
      </c>
      <c r="Y913" s="153">
        <v>92778</v>
      </c>
      <c r="Z913" s="153">
        <v>171271</v>
      </c>
    </row>
    <row r="914" spans="1:26" ht="18" hidden="1" customHeight="1" x14ac:dyDescent="0.2">
      <c r="A914" s="47">
        <f t="shared" si="366"/>
        <v>43765</v>
      </c>
      <c r="B914" s="56" t="s">
        <v>104</v>
      </c>
      <c r="C914" s="48">
        <f t="shared" si="444"/>
        <v>4697</v>
      </c>
      <c r="D914" s="99">
        <f t="shared" si="324"/>
        <v>7480</v>
      </c>
      <c r="E914" s="45">
        <f t="shared" si="325"/>
        <v>5478.9999999999782</v>
      </c>
      <c r="F914" s="45">
        <f t="shared" si="445"/>
        <v>262</v>
      </c>
      <c r="G914" s="79">
        <f t="shared" si="446"/>
        <v>17917.999999999978</v>
      </c>
      <c r="H914" s="199">
        <v>0</v>
      </c>
      <c r="I914" s="199">
        <v>3997</v>
      </c>
      <c r="J914" s="200">
        <f t="shared" si="397"/>
        <v>3997</v>
      </c>
      <c r="K914" s="201">
        <f t="shared" si="398"/>
        <v>-13920.999999999978</v>
      </c>
      <c r="L914" s="43"/>
      <c r="N914" s="153">
        <v>169637</v>
      </c>
      <c r="O914" s="153">
        <v>891494</v>
      </c>
      <c r="P914" s="153">
        <v>7981</v>
      </c>
      <c r="Q914" s="153"/>
      <c r="R914" s="153">
        <v>34368</v>
      </c>
      <c r="S914" s="154">
        <v>7510.7</v>
      </c>
      <c r="T914" s="154"/>
      <c r="U914" s="154"/>
      <c r="V914" s="153">
        <v>235471</v>
      </c>
      <c r="W914" s="153">
        <v>117065</v>
      </c>
      <c r="X914" s="153">
        <v>92100</v>
      </c>
      <c r="Y914" s="153">
        <v>92778</v>
      </c>
      <c r="Z914" s="153">
        <v>171271</v>
      </c>
    </row>
    <row r="915" spans="1:26" ht="18" hidden="1" customHeight="1" x14ac:dyDescent="0.2">
      <c r="A915" s="47">
        <f t="shared" si="366"/>
        <v>43766</v>
      </c>
      <c r="B915" s="47" t="s">
        <v>96</v>
      </c>
      <c r="C915" s="48">
        <f t="shared" ref="C915" si="447">(V916-V915)*1+(W916-W915)*32+(X916-X915)*12+(Y916-Y915)*6</f>
        <v>1785</v>
      </c>
      <c r="D915" s="99">
        <f t="shared" si="324"/>
        <v>1968</v>
      </c>
      <c r="E915" s="45">
        <f t="shared" si="325"/>
        <v>1516.0000000000655</v>
      </c>
      <c r="F915" s="45">
        <f t="shared" ref="F915" si="448">(Z916-Z915)*1</f>
        <v>69</v>
      </c>
      <c r="G915" s="79">
        <f t="shared" ref="G915" si="449">C915+D915+F915+E915</f>
        <v>5338.0000000000655</v>
      </c>
      <c r="H915" s="199">
        <v>4490</v>
      </c>
      <c r="I915" s="199">
        <v>1012</v>
      </c>
      <c r="J915" s="200">
        <f t="shared" si="397"/>
        <v>5502</v>
      </c>
      <c r="K915" s="201">
        <f t="shared" si="398"/>
        <v>163.99999999993452</v>
      </c>
      <c r="L915" s="43"/>
      <c r="N915" s="112">
        <v>170537</v>
      </c>
      <c r="O915" s="112">
        <v>891836</v>
      </c>
      <c r="P915" s="112">
        <v>8016</v>
      </c>
      <c r="Q915" s="112"/>
      <c r="R915" s="112">
        <v>34483</v>
      </c>
      <c r="S915" s="113">
        <v>7555.4</v>
      </c>
      <c r="T915" s="113"/>
      <c r="U915" s="113"/>
      <c r="V915" s="112">
        <v>236032</v>
      </c>
      <c r="W915" s="112">
        <v>117147</v>
      </c>
      <c r="X915" s="112">
        <v>92226</v>
      </c>
      <c r="Y915" s="112">
        <v>92778</v>
      </c>
      <c r="Z915" s="112">
        <v>171533</v>
      </c>
    </row>
    <row r="916" spans="1:26" ht="18" hidden="1" customHeight="1" x14ac:dyDescent="0.2">
      <c r="A916" s="47">
        <f t="shared" si="366"/>
        <v>43767</v>
      </c>
      <c r="B916" s="47" t="s">
        <v>97</v>
      </c>
      <c r="C916" s="48">
        <f t="shared" ref="C916" si="450">(V917-V916)*1+(W917-W916)*32+(X917-X916)*12+(Y917-Y916)*6</f>
        <v>1819</v>
      </c>
      <c r="D916" s="99">
        <f t="shared" si="324"/>
        <v>2032</v>
      </c>
      <c r="E916" s="45">
        <f t="shared" si="325"/>
        <v>2355.9999999999563</v>
      </c>
      <c r="F916" s="45">
        <f t="shared" ref="F916" si="451">(Z917-Z916)*1</f>
        <v>69</v>
      </c>
      <c r="G916" s="79">
        <f t="shared" ref="G916" si="452">C916+D916+F916+E916</f>
        <v>6275.9999999999563</v>
      </c>
      <c r="H916" s="199">
        <v>4362</v>
      </c>
      <c r="I916" s="199">
        <v>1036</v>
      </c>
      <c r="J916" s="200">
        <f t="shared" si="397"/>
        <v>5398</v>
      </c>
      <c r="K916" s="201">
        <f t="shared" si="398"/>
        <v>-877.99999999995634</v>
      </c>
      <c r="L916" s="43"/>
      <c r="N916" s="112">
        <v>170767</v>
      </c>
      <c r="O916" s="112">
        <v>891926</v>
      </c>
      <c r="P916" s="112">
        <v>8032</v>
      </c>
      <c r="Q916" s="112"/>
      <c r="R916" s="112">
        <v>34511</v>
      </c>
      <c r="S916" s="113">
        <v>7567.8</v>
      </c>
      <c r="T916" s="113"/>
      <c r="U916" s="113"/>
      <c r="V916" s="112">
        <v>236217</v>
      </c>
      <c r="W916" s="112">
        <v>117176</v>
      </c>
      <c r="X916" s="112">
        <v>92282</v>
      </c>
      <c r="Y916" s="112">
        <v>92778</v>
      </c>
      <c r="Z916" s="112">
        <v>171602</v>
      </c>
    </row>
    <row r="917" spans="1:26" ht="18" hidden="1" customHeight="1" x14ac:dyDescent="0.2">
      <c r="A917" s="47">
        <f t="shared" si="366"/>
        <v>43768</v>
      </c>
      <c r="B917" s="47" t="s">
        <v>98</v>
      </c>
      <c r="C917" s="48">
        <f t="shared" ref="C917" si="453">(V918-V917)*1+(W918-W917)*32+(X918-X917)*12+(Y918-Y917)*6</f>
        <v>1611</v>
      </c>
      <c r="D917" s="99">
        <f t="shared" ref="D917:D980" si="454">(N918-N917)*8+(P918-P917)*8</f>
        <v>2080</v>
      </c>
      <c r="E917" s="45">
        <f t="shared" ref="E917:E980" si="455">(R918-R917)*1+(S918-S917)*120</f>
        <v>330</v>
      </c>
      <c r="F917" s="45">
        <f t="shared" ref="F917" si="456">(Z918-Z917)*1</f>
        <v>71</v>
      </c>
      <c r="G917" s="79">
        <f t="shared" ref="G917" si="457">C917+D917+F917+E917</f>
        <v>4092</v>
      </c>
      <c r="H917" s="199">
        <v>4004</v>
      </c>
      <c r="I917" s="199">
        <v>1025</v>
      </c>
      <c r="J917" s="200">
        <f t="shared" si="397"/>
        <v>5029</v>
      </c>
      <c r="K917" s="201">
        <f t="shared" si="398"/>
        <v>937</v>
      </c>
      <c r="L917" s="43"/>
      <c r="N917" s="112">
        <v>171007</v>
      </c>
      <c r="O917" s="112">
        <v>892014</v>
      </c>
      <c r="P917" s="112">
        <v>8046</v>
      </c>
      <c r="Q917" s="112"/>
      <c r="R917" s="112">
        <v>35439</v>
      </c>
      <c r="S917" s="113">
        <v>7579.7</v>
      </c>
      <c r="T917" s="113"/>
      <c r="U917" s="113"/>
      <c r="V917" s="112">
        <v>236380</v>
      </c>
      <c r="W917" s="112">
        <v>117206</v>
      </c>
      <c r="X917" s="112">
        <v>92340</v>
      </c>
      <c r="Y917" s="112">
        <v>92778</v>
      </c>
      <c r="Z917" s="112">
        <v>171671</v>
      </c>
    </row>
    <row r="918" spans="1:26" ht="18" hidden="1" customHeight="1" x14ac:dyDescent="0.2">
      <c r="A918" s="47">
        <f t="shared" si="366"/>
        <v>43769</v>
      </c>
      <c r="B918" s="47" t="s">
        <v>99</v>
      </c>
      <c r="C918" s="48">
        <f t="shared" ref="C918" si="458">(V919-V918)*1+(W919-W918)*32+(X919-X918)*12+(Y919-Y918)*6</f>
        <v>1605</v>
      </c>
      <c r="D918" s="99">
        <f t="shared" si="454"/>
        <v>1776</v>
      </c>
      <c r="E918" s="45">
        <f t="shared" si="455"/>
        <v>1195.9999999999782</v>
      </c>
      <c r="F918" s="45">
        <f t="shared" ref="F918" si="459">(Z919-Z918)*1</f>
        <v>67</v>
      </c>
      <c r="G918" s="79">
        <f t="shared" ref="G918" si="460">C918+D918+F918+E918</f>
        <v>4643.9999999999782</v>
      </c>
      <c r="H918" s="199">
        <v>3883</v>
      </c>
      <c r="I918" s="199">
        <v>1028</v>
      </c>
      <c r="J918" s="200">
        <f t="shared" si="397"/>
        <v>4911</v>
      </c>
      <c r="K918" s="201">
        <f t="shared" si="398"/>
        <v>267.00000000002183</v>
      </c>
      <c r="L918" s="43"/>
      <c r="N918" s="112">
        <v>171257</v>
      </c>
      <c r="O918" s="112">
        <v>892106</v>
      </c>
      <c r="P918" s="112">
        <v>8056</v>
      </c>
      <c r="Q918" s="112"/>
      <c r="R918" s="112">
        <v>34569</v>
      </c>
      <c r="S918" s="113">
        <v>7589.7</v>
      </c>
      <c r="T918" s="113"/>
      <c r="U918" s="113"/>
      <c r="V918" s="112">
        <v>236543</v>
      </c>
      <c r="W918" s="112">
        <v>117231</v>
      </c>
      <c r="X918" s="112">
        <v>92394</v>
      </c>
      <c r="Y918" s="112">
        <v>92778</v>
      </c>
      <c r="Z918" s="112">
        <v>171742</v>
      </c>
    </row>
    <row r="919" spans="1:26" ht="18" hidden="1" customHeight="1" x14ac:dyDescent="0.2">
      <c r="A919" s="47">
        <f t="shared" si="366"/>
        <v>43770</v>
      </c>
      <c r="B919" s="47" t="s">
        <v>100</v>
      </c>
      <c r="C919" s="48">
        <f t="shared" ref="C919:C921" si="461">(V920-V919)*1+(W920-W919)*32+(X920-X919)*12+(Y920-Y919)*6</f>
        <v>0</v>
      </c>
      <c r="D919" s="99">
        <f t="shared" si="454"/>
        <v>0</v>
      </c>
      <c r="E919" s="45">
        <f t="shared" si="455"/>
        <v>0</v>
      </c>
      <c r="F919" s="45">
        <f t="shared" ref="F919:F921" si="462">(Z920-Z919)*1</f>
        <v>0</v>
      </c>
      <c r="G919" s="79">
        <f t="shared" ref="G919:G921" si="463">C919+D919+F919+E919</f>
        <v>0</v>
      </c>
      <c r="H919" s="199">
        <v>3789</v>
      </c>
      <c r="I919" s="199">
        <v>918</v>
      </c>
      <c r="J919" s="200">
        <f t="shared" ref="J919:J948" si="464">H919+I919</f>
        <v>4707</v>
      </c>
      <c r="K919" s="201">
        <f t="shared" ref="K919:K948" si="465">J919-G919</f>
        <v>4707</v>
      </c>
      <c r="L919" s="43"/>
      <c r="N919" s="112">
        <v>171467</v>
      </c>
      <c r="O919" s="112">
        <v>892187</v>
      </c>
      <c r="P919" s="112">
        <v>8068</v>
      </c>
      <c r="Q919" s="112"/>
      <c r="R919" s="112">
        <v>34601</v>
      </c>
      <c r="S919" s="113">
        <v>7599.4</v>
      </c>
      <c r="T919" s="113"/>
      <c r="U919" s="113"/>
      <c r="V919" s="112">
        <v>236708</v>
      </c>
      <c r="W919" s="112">
        <v>117261</v>
      </c>
      <c r="X919" s="112">
        <v>92434</v>
      </c>
      <c r="Y919" s="112">
        <v>92778</v>
      </c>
      <c r="Z919" s="112">
        <v>171809</v>
      </c>
    </row>
    <row r="920" spans="1:26" ht="18" hidden="1" customHeight="1" x14ac:dyDescent="0.2">
      <c r="A920" s="47">
        <f t="shared" si="366"/>
        <v>43771</v>
      </c>
      <c r="B920" s="56" t="s">
        <v>103</v>
      </c>
      <c r="C920" s="48">
        <f t="shared" si="461"/>
        <v>0</v>
      </c>
      <c r="D920" s="99">
        <f t="shared" si="454"/>
        <v>0</v>
      </c>
      <c r="E920" s="45">
        <f t="shared" si="455"/>
        <v>0</v>
      </c>
      <c r="F920" s="45">
        <f t="shared" si="462"/>
        <v>0</v>
      </c>
      <c r="G920" s="79">
        <f t="shared" si="463"/>
        <v>0</v>
      </c>
      <c r="H920" s="199">
        <v>0</v>
      </c>
      <c r="I920" s="199">
        <f>2301+721</f>
        <v>3022</v>
      </c>
      <c r="J920" s="200">
        <f t="shared" si="464"/>
        <v>3022</v>
      </c>
      <c r="K920" s="201">
        <f t="shared" si="465"/>
        <v>3022</v>
      </c>
      <c r="L920" s="43"/>
      <c r="N920" s="153">
        <v>171467</v>
      </c>
      <c r="O920" s="153">
        <v>892187</v>
      </c>
      <c r="P920" s="153">
        <v>8068</v>
      </c>
      <c r="Q920" s="153"/>
      <c r="R920" s="153">
        <v>34601</v>
      </c>
      <c r="S920" s="154">
        <v>7599.4</v>
      </c>
      <c r="T920" s="154"/>
      <c r="U920" s="154"/>
      <c r="V920" s="153">
        <v>236708</v>
      </c>
      <c r="W920" s="153">
        <v>117261</v>
      </c>
      <c r="X920" s="153">
        <v>92434</v>
      </c>
      <c r="Y920" s="153">
        <v>92778</v>
      </c>
      <c r="Z920" s="153">
        <v>171809</v>
      </c>
    </row>
    <row r="921" spans="1:26" ht="18" hidden="1" customHeight="1" x14ac:dyDescent="0.2">
      <c r="A921" s="47">
        <f t="shared" si="366"/>
        <v>43772</v>
      </c>
      <c r="B921" s="56" t="s">
        <v>104</v>
      </c>
      <c r="C921" s="48">
        <f t="shared" si="461"/>
        <v>2719</v>
      </c>
      <c r="D921" s="99">
        <f t="shared" si="454"/>
        <v>4120</v>
      </c>
      <c r="E921" s="45">
        <f t="shared" si="455"/>
        <v>3607.0000000000218</v>
      </c>
      <c r="F921" s="45">
        <f t="shared" si="462"/>
        <v>232</v>
      </c>
      <c r="G921" s="79">
        <f t="shared" si="463"/>
        <v>10678.000000000022</v>
      </c>
      <c r="H921" s="199">
        <v>0</v>
      </c>
      <c r="I921" s="199">
        <v>3139</v>
      </c>
      <c r="J921" s="200">
        <f t="shared" si="464"/>
        <v>3139</v>
      </c>
      <c r="K921" s="201">
        <f t="shared" si="465"/>
        <v>-7539.0000000000218</v>
      </c>
      <c r="L921" s="43"/>
      <c r="N921" s="153">
        <v>171467</v>
      </c>
      <c r="O921" s="153">
        <v>892187</v>
      </c>
      <c r="P921" s="153">
        <v>8068</v>
      </c>
      <c r="Q921" s="153"/>
      <c r="R921" s="153">
        <v>34601</v>
      </c>
      <c r="S921" s="154">
        <v>7599.4</v>
      </c>
      <c r="T921" s="154"/>
      <c r="U921" s="154"/>
      <c r="V921" s="153">
        <v>236708</v>
      </c>
      <c r="W921" s="153">
        <v>117261</v>
      </c>
      <c r="X921" s="153">
        <v>92434</v>
      </c>
      <c r="Y921" s="153">
        <v>92778</v>
      </c>
      <c r="Z921" s="153">
        <v>171809</v>
      </c>
    </row>
    <row r="922" spans="1:26" ht="18" hidden="1" customHeight="1" x14ac:dyDescent="0.2">
      <c r="A922" s="47">
        <f t="shared" si="366"/>
        <v>43773</v>
      </c>
      <c r="B922" s="47" t="s">
        <v>96</v>
      </c>
      <c r="C922" s="48">
        <f t="shared" ref="C922" si="466">(V923-V922)*1+(W923-W922)*32+(X923-X922)*12+(Y923-Y922)*6</f>
        <v>1757</v>
      </c>
      <c r="D922" s="99">
        <f t="shared" si="454"/>
        <v>1848</v>
      </c>
      <c r="E922" s="45">
        <f t="shared" si="455"/>
        <v>1396.0000000000655</v>
      </c>
      <c r="F922" s="45">
        <f t="shared" ref="F922" si="467">(Z923-Z922)*1</f>
        <v>74</v>
      </c>
      <c r="G922" s="79">
        <f t="shared" ref="G922" si="468">C922+D922+F922+E922</f>
        <v>5075.0000000000655</v>
      </c>
      <c r="H922" s="199">
        <v>4147</v>
      </c>
      <c r="I922" s="199">
        <v>1080</v>
      </c>
      <c r="J922" s="200">
        <f t="shared" si="464"/>
        <v>5227</v>
      </c>
      <c r="K922" s="201">
        <f t="shared" si="465"/>
        <v>151.99999999993452</v>
      </c>
      <c r="L922" s="43"/>
      <c r="N922" s="112">
        <v>171957</v>
      </c>
      <c r="O922" s="112">
        <v>892365</v>
      </c>
      <c r="P922" s="112">
        <v>8093</v>
      </c>
      <c r="Q922" s="112"/>
      <c r="R922" s="112">
        <v>34692</v>
      </c>
      <c r="S922" s="113">
        <v>7628.7</v>
      </c>
      <c r="T922" s="113"/>
      <c r="U922" s="113"/>
      <c r="V922" s="112">
        <v>237107</v>
      </c>
      <c r="W922" s="112">
        <v>117311</v>
      </c>
      <c r="X922" s="112">
        <v>92494</v>
      </c>
      <c r="Y922" s="112">
        <v>92778</v>
      </c>
      <c r="Z922" s="112">
        <v>172041</v>
      </c>
    </row>
    <row r="923" spans="1:26" ht="18" hidden="1" customHeight="1" x14ac:dyDescent="0.2">
      <c r="A923" s="47">
        <f t="shared" si="366"/>
        <v>43774</v>
      </c>
      <c r="B923" s="47" t="s">
        <v>97</v>
      </c>
      <c r="C923" s="48">
        <f t="shared" ref="C923" si="469">(V924-V923)*1+(W924-W923)*32+(X924-X923)*12+(Y924-Y923)*6</f>
        <v>1746</v>
      </c>
      <c r="D923" s="99">
        <f t="shared" si="454"/>
        <v>1848</v>
      </c>
      <c r="E923" s="45">
        <f t="shared" si="455"/>
        <v>1157.9999999999563</v>
      </c>
      <c r="F923" s="45">
        <f t="shared" ref="F923" si="470">(Z924-Z923)*1</f>
        <v>76</v>
      </c>
      <c r="G923" s="79">
        <f t="shared" ref="G923" si="471">C923+D923+F923+E923</f>
        <v>4827.9999999999563</v>
      </c>
      <c r="H923" s="199">
        <v>4046</v>
      </c>
      <c r="I923" s="199">
        <v>1063</v>
      </c>
      <c r="J923" s="200">
        <f t="shared" si="464"/>
        <v>5109</v>
      </c>
      <c r="K923" s="201">
        <f t="shared" si="465"/>
        <v>281.00000000004366</v>
      </c>
      <c r="L923" s="43"/>
      <c r="N923" s="112">
        <v>172177</v>
      </c>
      <c r="O923" s="112">
        <v>892547</v>
      </c>
      <c r="P923" s="112">
        <v>8104</v>
      </c>
      <c r="Q923" s="112"/>
      <c r="R923" s="112">
        <v>34720</v>
      </c>
      <c r="S923" s="113">
        <v>7640.1</v>
      </c>
      <c r="T923" s="113"/>
      <c r="U923" s="113"/>
      <c r="V923" s="112">
        <v>237284</v>
      </c>
      <c r="W923" s="112">
        <v>117339</v>
      </c>
      <c r="X923" s="112">
        <v>92551</v>
      </c>
      <c r="Y923" s="112">
        <v>92778</v>
      </c>
      <c r="Z923" s="112">
        <v>172115</v>
      </c>
    </row>
    <row r="924" spans="1:26" ht="18" hidden="1" customHeight="1" x14ac:dyDescent="0.2">
      <c r="A924" s="47">
        <f t="shared" si="366"/>
        <v>43775</v>
      </c>
      <c r="B924" s="47" t="s">
        <v>98</v>
      </c>
      <c r="C924" s="48">
        <f t="shared" ref="C924" si="472">(V925-V924)*1+(W925-W924)*32+(X925-X924)*12+(Y925-Y924)*6</f>
        <v>1555</v>
      </c>
      <c r="D924" s="99">
        <f t="shared" si="454"/>
        <v>2096</v>
      </c>
      <c r="E924" s="45">
        <f t="shared" si="455"/>
        <v>1076.9999999999782</v>
      </c>
      <c r="F924" s="45">
        <f t="shared" ref="F924" si="473">(Z925-Z924)*1</f>
        <v>71</v>
      </c>
      <c r="G924" s="79">
        <f t="shared" ref="G924" si="474">C924+D924+F924+E924</f>
        <v>4798.9999999999782</v>
      </c>
      <c r="H924" s="199">
        <v>3704</v>
      </c>
      <c r="I924" s="199">
        <v>1085</v>
      </c>
      <c r="J924" s="200">
        <f t="shared" si="464"/>
        <v>4789</v>
      </c>
      <c r="K924" s="201">
        <f t="shared" si="465"/>
        <v>-9.9999999999781721</v>
      </c>
      <c r="L924" s="43"/>
      <c r="N924" s="112">
        <v>172397</v>
      </c>
      <c r="O924" s="112">
        <v>892543</v>
      </c>
      <c r="P924" s="112">
        <v>8115</v>
      </c>
      <c r="Q924" s="112"/>
      <c r="R924" s="112">
        <v>34750</v>
      </c>
      <c r="S924" s="113">
        <v>7649.5</v>
      </c>
      <c r="T924" s="113"/>
      <c r="U924" s="113"/>
      <c r="V924" s="112">
        <v>237450</v>
      </c>
      <c r="W924" s="112">
        <v>117367</v>
      </c>
      <c r="X924" s="112">
        <v>92608</v>
      </c>
      <c r="Y924" s="112">
        <v>92778</v>
      </c>
      <c r="Z924" s="112">
        <v>172191</v>
      </c>
    </row>
    <row r="925" spans="1:26" ht="18" hidden="1" customHeight="1" x14ac:dyDescent="0.2">
      <c r="A925" s="47">
        <f t="shared" si="366"/>
        <v>43776</v>
      </c>
      <c r="B925" s="47" t="s">
        <v>99</v>
      </c>
      <c r="C925" s="48">
        <f t="shared" ref="C925" si="475">(V926-V925)*1+(W926-W925)*32+(X926-X925)*12+(Y926-Y925)*6</f>
        <v>1750</v>
      </c>
      <c r="D925" s="99">
        <f t="shared" si="454"/>
        <v>1928</v>
      </c>
      <c r="E925" s="45">
        <f t="shared" si="455"/>
        <v>1074.9999999999782</v>
      </c>
      <c r="F925" s="45">
        <f t="shared" ref="F925" si="476">(Z926-Z925)*1</f>
        <v>82</v>
      </c>
      <c r="G925" s="79">
        <f t="shared" ref="G925" si="477">C925+D925+F925+E925</f>
        <v>4834.9999999999782</v>
      </c>
      <c r="H925" s="199">
        <v>3944</v>
      </c>
      <c r="I925" s="199">
        <v>1070</v>
      </c>
      <c r="J925" s="200">
        <f t="shared" si="464"/>
        <v>5014</v>
      </c>
      <c r="K925" s="201">
        <f t="shared" si="465"/>
        <v>179.00000000002183</v>
      </c>
      <c r="L925" s="43"/>
      <c r="N925" s="112">
        <v>172647</v>
      </c>
      <c r="O925" s="112">
        <v>892635</v>
      </c>
      <c r="P925" s="112">
        <v>8127</v>
      </c>
      <c r="Q925" s="112"/>
      <c r="R925" s="112">
        <v>34783</v>
      </c>
      <c r="S925" s="113">
        <v>7658.2</v>
      </c>
      <c r="T925" s="113"/>
      <c r="U925" s="113"/>
      <c r="V925" s="112">
        <v>237621</v>
      </c>
      <c r="W925" s="112">
        <v>117393</v>
      </c>
      <c r="X925" s="112">
        <v>92654</v>
      </c>
      <c r="Y925" s="112">
        <v>92778</v>
      </c>
      <c r="Z925" s="112">
        <v>172262</v>
      </c>
    </row>
    <row r="926" spans="1:26" ht="18" hidden="1" customHeight="1" x14ac:dyDescent="0.2">
      <c r="A926" s="47">
        <f t="shared" si="366"/>
        <v>43777</v>
      </c>
      <c r="B926" s="47" t="s">
        <v>100</v>
      </c>
      <c r="C926" s="48">
        <f t="shared" ref="C926:C928" si="478">(V927-V926)*1+(W927-W926)*32+(X927-X926)*12+(Y927-Y926)*6</f>
        <v>0</v>
      </c>
      <c r="D926" s="99">
        <f t="shared" si="454"/>
        <v>0</v>
      </c>
      <c r="E926" s="45">
        <f t="shared" si="455"/>
        <v>0</v>
      </c>
      <c r="F926" s="45">
        <f t="shared" ref="F926:F928" si="479">(Z927-Z926)*1</f>
        <v>0</v>
      </c>
      <c r="G926" s="79">
        <f t="shared" ref="G926:G928" si="480">C926+D926+F926+E926</f>
        <v>0</v>
      </c>
      <c r="H926" s="199">
        <v>3845</v>
      </c>
      <c r="I926" s="199">
        <v>996</v>
      </c>
      <c r="J926" s="200">
        <f t="shared" si="464"/>
        <v>4841</v>
      </c>
      <c r="K926" s="201">
        <f t="shared" si="465"/>
        <v>4841</v>
      </c>
      <c r="L926" s="43"/>
      <c r="N926" s="112">
        <v>172877</v>
      </c>
      <c r="O926" s="112">
        <v>892724</v>
      </c>
      <c r="P926" s="112">
        <v>8138</v>
      </c>
      <c r="Q926" s="112"/>
      <c r="R926" s="112">
        <v>34814</v>
      </c>
      <c r="S926" s="113">
        <v>7666.9</v>
      </c>
      <c r="T926" s="113"/>
      <c r="U926" s="113"/>
      <c r="V926" s="112">
        <v>237791</v>
      </c>
      <c r="W926" s="112">
        <v>117421</v>
      </c>
      <c r="X926" s="112">
        <v>92711</v>
      </c>
      <c r="Y926" s="112">
        <v>92778</v>
      </c>
      <c r="Z926" s="112">
        <v>172344</v>
      </c>
    </row>
    <row r="927" spans="1:26" ht="18" hidden="1" customHeight="1" x14ac:dyDescent="0.2">
      <c r="A927" s="47">
        <f t="shared" si="366"/>
        <v>43778</v>
      </c>
      <c r="B927" s="56" t="s">
        <v>103</v>
      </c>
      <c r="C927" s="48">
        <f t="shared" si="478"/>
        <v>0</v>
      </c>
      <c r="D927" s="99">
        <f t="shared" si="454"/>
        <v>0</v>
      </c>
      <c r="E927" s="45">
        <f t="shared" si="455"/>
        <v>0</v>
      </c>
      <c r="F927" s="45">
        <f t="shared" si="479"/>
        <v>0</v>
      </c>
      <c r="G927" s="79">
        <f t="shared" si="480"/>
        <v>0</v>
      </c>
      <c r="H927" s="199">
        <v>0</v>
      </c>
      <c r="I927" s="199">
        <f>2070+638</f>
        <v>2708</v>
      </c>
      <c r="J927" s="200">
        <f t="shared" si="464"/>
        <v>2708</v>
      </c>
      <c r="K927" s="201">
        <f t="shared" si="465"/>
        <v>2708</v>
      </c>
      <c r="L927" s="43"/>
      <c r="N927" s="153">
        <v>172877</v>
      </c>
      <c r="O927" s="153">
        <v>892724</v>
      </c>
      <c r="P927" s="153">
        <v>8138</v>
      </c>
      <c r="Q927" s="153"/>
      <c r="R927" s="153">
        <v>34814</v>
      </c>
      <c r="S927" s="154">
        <v>7666.9</v>
      </c>
      <c r="T927" s="154"/>
      <c r="U927" s="154"/>
      <c r="V927" s="153">
        <v>237791</v>
      </c>
      <c r="W927" s="153">
        <v>117421</v>
      </c>
      <c r="X927" s="153">
        <v>92711</v>
      </c>
      <c r="Y927" s="153">
        <v>92778</v>
      </c>
      <c r="Z927" s="153">
        <v>172344</v>
      </c>
    </row>
    <row r="928" spans="1:26" ht="18" hidden="1" customHeight="1" x14ac:dyDescent="0.2">
      <c r="A928" s="47">
        <f t="shared" si="366"/>
        <v>43779</v>
      </c>
      <c r="B928" s="56" t="s">
        <v>104</v>
      </c>
      <c r="C928" s="48">
        <f t="shared" si="478"/>
        <v>2723</v>
      </c>
      <c r="D928" s="99">
        <f t="shared" si="454"/>
        <v>4752</v>
      </c>
      <c r="E928" s="45">
        <f t="shared" si="455"/>
        <v>3602.0000000000218</v>
      </c>
      <c r="F928" s="45">
        <f t="shared" si="479"/>
        <v>262</v>
      </c>
      <c r="G928" s="79">
        <f t="shared" si="480"/>
        <v>11339.000000000022</v>
      </c>
      <c r="H928" s="199">
        <v>0</v>
      </c>
      <c r="I928" s="199">
        <v>3250</v>
      </c>
      <c r="J928" s="200">
        <f t="shared" si="464"/>
        <v>3250</v>
      </c>
      <c r="K928" s="201">
        <f t="shared" si="465"/>
        <v>-8089.0000000000218</v>
      </c>
      <c r="L928" s="43"/>
      <c r="N928" s="153">
        <v>172877</v>
      </c>
      <c r="O928" s="153">
        <v>892724</v>
      </c>
      <c r="P928" s="153">
        <v>8138</v>
      </c>
      <c r="Q928" s="153"/>
      <c r="R928" s="153">
        <v>34814</v>
      </c>
      <c r="S928" s="154">
        <v>7666.9</v>
      </c>
      <c r="T928" s="154"/>
      <c r="U928" s="154"/>
      <c r="V928" s="153">
        <v>237791</v>
      </c>
      <c r="W928" s="153">
        <v>117421</v>
      </c>
      <c r="X928" s="153">
        <v>92711</v>
      </c>
      <c r="Y928" s="153">
        <v>92778</v>
      </c>
      <c r="Z928" s="153">
        <v>172344</v>
      </c>
    </row>
    <row r="929" spans="1:26" ht="18" hidden="1" customHeight="1" x14ac:dyDescent="0.2">
      <c r="A929" s="47">
        <f t="shared" si="366"/>
        <v>43780</v>
      </c>
      <c r="B929" s="47" t="s">
        <v>96</v>
      </c>
      <c r="C929" s="48">
        <f t="shared" ref="C929" si="481">(V930-V929)*1+(W930-W929)*32+(X930-X929)*12+(Y930-Y929)*6</f>
        <v>1921</v>
      </c>
      <c r="D929" s="99">
        <f t="shared" si="454"/>
        <v>1160</v>
      </c>
      <c r="E929" s="45">
        <f t="shared" si="455"/>
        <v>1409</v>
      </c>
      <c r="F929" s="45">
        <f t="shared" ref="F929" si="482">(Z930-Z929)*1</f>
        <v>90</v>
      </c>
      <c r="G929" s="79">
        <f t="shared" ref="G929" si="483">C929+D929+F929+E929</f>
        <v>4580</v>
      </c>
      <c r="H929" s="199">
        <v>4499</v>
      </c>
      <c r="I929" s="199">
        <v>1079</v>
      </c>
      <c r="J929" s="200">
        <f t="shared" si="464"/>
        <v>5578</v>
      </c>
      <c r="K929" s="201">
        <f t="shared" si="465"/>
        <v>998</v>
      </c>
      <c r="L929" s="43"/>
      <c r="N929" s="112">
        <v>173447</v>
      </c>
      <c r="O929" s="112">
        <v>892900</v>
      </c>
      <c r="P929" s="112">
        <v>8162</v>
      </c>
      <c r="Q929" s="112"/>
      <c r="R929" s="112">
        <v>34900</v>
      </c>
      <c r="S929" s="113">
        <v>7696.2</v>
      </c>
      <c r="T929" s="113"/>
      <c r="U929" s="113"/>
      <c r="V929" s="112">
        <v>238178</v>
      </c>
      <c r="W929" s="112">
        <v>117470</v>
      </c>
      <c r="X929" s="112">
        <v>92775</v>
      </c>
      <c r="Y929" s="112">
        <v>92778</v>
      </c>
      <c r="Z929" s="112">
        <v>172606</v>
      </c>
    </row>
    <row r="930" spans="1:26" ht="18" hidden="1" customHeight="1" x14ac:dyDescent="0.2">
      <c r="A930" s="47">
        <f t="shared" si="366"/>
        <v>43781</v>
      </c>
      <c r="B930" s="47" t="s">
        <v>97</v>
      </c>
      <c r="C930" s="48">
        <f t="shared" ref="C930" si="484">(V931-V930)*1+(W931-W930)*32+(X931-X930)*12+(Y931-Y930)*6</f>
        <v>1870</v>
      </c>
      <c r="D930" s="99">
        <f t="shared" si="454"/>
        <v>2072</v>
      </c>
      <c r="E930" s="45">
        <f t="shared" si="455"/>
        <v>1122.0000000000437</v>
      </c>
      <c r="F930" s="45">
        <f t="shared" ref="F930" si="485">(Z931-Z930)*1</f>
        <v>55</v>
      </c>
      <c r="G930" s="79">
        <f t="shared" ref="G930" si="486">C930+D930+F930+E930</f>
        <v>5119.0000000000437</v>
      </c>
      <c r="H930" s="199">
        <v>4215</v>
      </c>
      <c r="I930" s="199">
        <v>1070</v>
      </c>
      <c r="J930" s="200">
        <f t="shared" si="464"/>
        <v>5285</v>
      </c>
      <c r="K930" s="201">
        <f t="shared" si="465"/>
        <v>165.99999999995634</v>
      </c>
      <c r="L930" s="43"/>
      <c r="N930" s="112">
        <v>173577</v>
      </c>
      <c r="O930" s="112">
        <v>892991</v>
      </c>
      <c r="P930" s="112">
        <v>8177</v>
      </c>
      <c r="Q930" s="112"/>
      <c r="R930" s="112">
        <v>34929</v>
      </c>
      <c r="S930" s="113">
        <v>7707.7</v>
      </c>
      <c r="T930" s="113"/>
      <c r="U930" s="113"/>
      <c r="V930" s="112">
        <v>238347</v>
      </c>
      <c r="W930" s="112">
        <v>117500</v>
      </c>
      <c r="X930" s="112">
        <v>92841</v>
      </c>
      <c r="Y930" s="112">
        <v>92778</v>
      </c>
      <c r="Z930" s="112">
        <v>172696</v>
      </c>
    </row>
    <row r="931" spans="1:26" ht="18" hidden="1" customHeight="1" x14ac:dyDescent="0.2">
      <c r="A931" s="47">
        <f t="shared" si="366"/>
        <v>43782</v>
      </c>
      <c r="B931" s="47" t="s">
        <v>98</v>
      </c>
      <c r="C931" s="48">
        <f t="shared" ref="C931" si="487">(V932-V931)*1+(W932-W931)*32+(X932-X931)*12+(Y932-Y931)*6</f>
        <v>1878</v>
      </c>
      <c r="D931" s="99">
        <f t="shared" si="454"/>
        <v>2120</v>
      </c>
      <c r="E931" s="45">
        <f t="shared" si="455"/>
        <v>1087.0000000000218</v>
      </c>
      <c r="F931" s="45">
        <f t="shared" ref="F931" si="488">(Z932-Z931)*1</f>
        <v>78</v>
      </c>
      <c r="G931" s="79">
        <f t="shared" ref="G931" si="489">C931+D931+F931+E931</f>
        <v>5163.0000000000218</v>
      </c>
      <c r="H931" s="199">
        <v>4095</v>
      </c>
      <c r="I931" s="199">
        <v>1086</v>
      </c>
      <c r="J931" s="200">
        <f t="shared" si="464"/>
        <v>5181</v>
      </c>
      <c r="K931" s="201">
        <f t="shared" si="465"/>
        <v>17.999999999978172</v>
      </c>
      <c r="L931" s="43"/>
      <c r="N931" s="112">
        <v>173827</v>
      </c>
      <c r="O931" s="112">
        <v>893086</v>
      </c>
      <c r="P931" s="112">
        <v>8186</v>
      </c>
      <c r="Q931" s="112"/>
      <c r="R931" s="112">
        <v>34959</v>
      </c>
      <c r="S931" s="113">
        <v>7716.8</v>
      </c>
      <c r="T931" s="113"/>
      <c r="U931" s="113"/>
      <c r="V931" s="112">
        <v>238521</v>
      </c>
      <c r="W931" s="112">
        <v>117529</v>
      </c>
      <c r="X931" s="112">
        <v>92905</v>
      </c>
      <c r="Y931" s="112">
        <v>92778</v>
      </c>
      <c r="Z931" s="112">
        <v>172751</v>
      </c>
    </row>
    <row r="932" spans="1:26" ht="18" hidden="1" customHeight="1" x14ac:dyDescent="0.2">
      <c r="A932" s="47">
        <f t="shared" si="366"/>
        <v>43783</v>
      </c>
      <c r="B932" s="47" t="s">
        <v>99</v>
      </c>
      <c r="C932" s="48">
        <f t="shared" ref="C932" si="490">(V933-V932)*1+(W933-W932)*32+(X933-X932)*12+(Y933-Y932)*6</f>
        <v>1778</v>
      </c>
      <c r="D932" s="99">
        <f t="shared" si="454"/>
        <v>2088</v>
      </c>
      <c r="E932" s="45">
        <f t="shared" si="455"/>
        <v>1096.9999999999563</v>
      </c>
      <c r="F932" s="45">
        <f t="shared" ref="F932" si="491">(Z933-Z932)*1</f>
        <v>88</v>
      </c>
      <c r="G932" s="79">
        <f t="shared" ref="G932" si="492">C932+D932+F932+E932</f>
        <v>5050.9999999999563</v>
      </c>
      <c r="H932" s="199">
        <v>4105</v>
      </c>
      <c r="I932" s="199">
        <v>1072</v>
      </c>
      <c r="J932" s="200">
        <f t="shared" si="464"/>
        <v>5177</v>
      </c>
      <c r="K932" s="201">
        <f t="shared" si="465"/>
        <v>126.00000000004366</v>
      </c>
      <c r="L932" s="43"/>
      <c r="N932" s="112">
        <v>174077</v>
      </c>
      <c r="O932" s="112">
        <v>893180</v>
      </c>
      <c r="P932" s="112">
        <v>8201</v>
      </c>
      <c r="Q932" s="112"/>
      <c r="R932" s="112">
        <v>34990</v>
      </c>
      <c r="S932" s="113">
        <v>7725.6</v>
      </c>
      <c r="T932" s="113"/>
      <c r="U932" s="113"/>
      <c r="V932" s="112">
        <v>238695</v>
      </c>
      <c r="W932" s="112">
        <v>117559</v>
      </c>
      <c r="X932" s="112">
        <v>92967</v>
      </c>
      <c r="Y932" s="112">
        <v>92778</v>
      </c>
      <c r="Z932" s="112">
        <v>172829</v>
      </c>
    </row>
    <row r="933" spans="1:26" ht="18" hidden="1" customHeight="1" x14ac:dyDescent="0.2">
      <c r="A933" s="47">
        <f t="shared" si="366"/>
        <v>43784</v>
      </c>
      <c r="B933" s="47" t="s">
        <v>100</v>
      </c>
      <c r="C933" s="48">
        <f t="shared" ref="C933:C935" si="493">(V934-V933)*1+(W934-W933)*32+(X934-X933)*12+(Y934-Y933)*6</f>
        <v>0</v>
      </c>
      <c r="D933" s="99">
        <f t="shared" si="454"/>
        <v>0</v>
      </c>
      <c r="E933" s="45">
        <f t="shared" si="455"/>
        <v>0</v>
      </c>
      <c r="F933" s="45">
        <f t="shared" ref="F933:F935" si="494">(Z934-Z933)*1</f>
        <v>0</v>
      </c>
      <c r="G933" s="79">
        <f t="shared" ref="G933:G935" si="495">C933+D933+F933+E933</f>
        <v>0</v>
      </c>
      <c r="H933" s="199">
        <v>3892</v>
      </c>
      <c r="I933" s="199">
        <v>1067</v>
      </c>
      <c r="J933" s="200">
        <f t="shared" si="464"/>
        <v>4959</v>
      </c>
      <c r="K933" s="201">
        <f t="shared" si="465"/>
        <v>4959</v>
      </c>
      <c r="L933" s="43"/>
      <c r="N933" s="112">
        <v>174327</v>
      </c>
      <c r="O933" s="112">
        <v>893277</v>
      </c>
      <c r="P933" s="112">
        <v>8212</v>
      </c>
      <c r="Q933" s="112"/>
      <c r="R933" s="112">
        <v>35019</v>
      </c>
      <c r="S933" s="113">
        <v>7734.5</v>
      </c>
      <c r="T933" s="113"/>
      <c r="U933" s="113"/>
      <c r="V933" s="112">
        <v>238861</v>
      </c>
      <c r="W933" s="112">
        <v>117588</v>
      </c>
      <c r="X933" s="112">
        <v>93024</v>
      </c>
      <c r="Y933" s="112">
        <v>92778</v>
      </c>
      <c r="Z933" s="112">
        <v>172917</v>
      </c>
    </row>
    <row r="934" spans="1:26" ht="18" hidden="1" customHeight="1" x14ac:dyDescent="0.2">
      <c r="A934" s="47">
        <f t="shared" si="366"/>
        <v>43785</v>
      </c>
      <c r="B934" s="56" t="s">
        <v>103</v>
      </c>
      <c r="C934" s="48">
        <f t="shared" si="493"/>
        <v>0</v>
      </c>
      <c r="D934" s="99">
        <f t="shared" si="454"/>
        <v>0</v>
      </c>
      <c r="E934" s="45">
        <f t="shared" si="455"/>
        <v>0</v>
      </c>
      <c r="F934" s="45">
        <f t="shared" si="494"/>
        <v>0</v>
      </c>
      <c r="G934" s="79">
        <f t="shared" si="495"/>
        <v>0</v>
      </c>
      <c r="H934" s="199">
        <v>0</v>
      </c>
      <c r="I934" s="199">
        <f>2462+795</f>
        <v>3257</v>
      </c>
      <c r="J934" s="200">
        <f t="shared" si="464"/>
        <v>3257</v>
      </c>
      <c r="K934" s="201">
        <f t="shared" si="465"/>
        <v>3257</v>
      </c>
      <c r="L934" s="43"/>
      <c r="N934" s="153">
        <v>174327</v>
      </c>
      <c r="O934" s="153">
        <v>893277</v>
      </c>
      <c r="P934" s="153">
        <v>8212</v>
      </c>
      <c r="Q934" s="153"/>
      <c r="R934" s="153">
        <v>35019</v>
      </c>
      <c r="S934" s="154">
        <v>7734.5</v>
      </c>
      <c r="T934" s="154"/>
      <c r="U934" s="154"/>
      <c r="V934" s="153">
        <v>238861</v>
      </c>
      <c r="W934" s="153">
        <v>117588</v>
      </c>
      <c r="X934" s="153">
        <v>93024</v>
      </c>
      <c r="Y934" s="153">
        <v>92778</v>
      </c>
      <c r="Z934" s="153">
        <v>172917</v>
      </c>
    </row>
    <row r="935" spans="1:26" ht="18" hidden="1" customHeight="1" x14ac:dyDescent="0.2">
      <c r="A935" s="47">
        <f t="shared" si="366"/>
        <v>43786</v>
      </c>
      <c r="B935" s="56" t="s">
        <v>104</v>
      </c>
      <c r="C935" s="48">
        <f t="shared" si="493"/>
        <v>2348</v>
      </c>
      <c r="D935" s="99">
        <f t="shared" si="454"/>
        <v>6448</v>
      </c>
      <c r="E935" s="45">
        <f t="shared" si="455"/>
        <v>3993</v>
      </c>
      <c r="F935" s="45">
        <f t="shared" si="494"/>
        <v>234</v>
      </c>
      <c r="G935" s="79">
        <f t="shared" si="495"/>
        <v>13023</v>
      </c>
      <c r="H935" s="199">
        <v>0</v>
      </c>
      <c r="I935" s="199">
        <v>3664</v>
      </c>
      <c r="J935" s="200">
        <f t="shared" si="464"/>
        <v>3664</v>
      </c>
      <c r="K935" s="201">
        <f t="shared" si="465"/>
        <v>-9359</v>
      </c>
      <c r="L935" s="43"/>
      <c r="N935" s="153">
        <v>174327</v>
      </c>
      <c r="O935" s="153">
        <v>893277</v>
      </c>
      <c r="P935" s="153">
        <v>8212</v>
      </c>
      <c r="Q935" s="153"/>
      <c r="R935" s="153">
        <v>35019</v>
      </c>
      <c r="S935" s="154">
        <v>7734.5</v>
      </c>
      <c r="T935" s="154"/>
      <c r="U935" s="154"/>
      <c r="V935" s="153">
        <v>238861</v>
      </c>
      <c r="W935" s="153">
        <v>117588</v>
      </c>
      <c r="X935" s="153">
        <v>93024</v>
      </c>
      <c r="Y935" s="153">
        <v>92778</v>
      </c>
      <c r="Z935" s="153">
        <v>172917</v>
      </c>
    </row>
    <row r="936" spans="1:26" ht="18" hidden="1" customHeight="1" x14ac:dyDescent="0.2">
      <c r="A936" s="47">
        <f t="shared" ref="A936:A999" si="496">A935+1</f>
        <v>43787</v>
      </c>
      <c r="B936" s="47" t="s">
        <v>96</v>
      </c>
      <c r="C936" s="48">
        <f t="shared" ref="C936" si="497">(V937-V936)*1+(W937-W936)*32+(X937-X936)*12+(Y937-Y936)*6</f>
        <v>1712</v>
      </c>
      <c r="D936" s="99">
        <f t="shared" si="454"/>
        <v>584</v>
      </c>
      <c r="E936" s="45">
        <f t="shared" si="455"/>
        <v>1654</v>
      </c>
      <c r="F936" s="45">
        <f t="shared" ref="F936" si="498">(Z937-Z936)*1</f>
        <v>76</v>
      </c>
      <c r="G936" s="79">
        <f t="shared" ref="G936" si="499">C936+D936+F936+E936</f>
        <v>4026</v>
      </c>
      <c r="H936" s="199">
        <v>4579</v>
      </c>
      <c r="I936" s="199">
        <v>1107</v>
      </c>
      <c r="J936" s="200">
        <f t="shared" si="464"/>
        <v>5686</v>
      </c>
      <c r="K936" s="201">
        <f t="shared" si="465"/>
        <v>1660</v>
      </c>
      <c r="L936" s="43"/>
      <c r="N936" s="112">
        <v>175107</v>
      </c>
      <c r="O936" s="112">
        <v>893494</v>
      </c>
      <c r="P936" s="112">
        <v>8238</v>
      </c>
      <c r="Q936" s="112"/>
      <c r="R936" s="112">
        <v>35112</v>
      </c>
      <c r="S936" s="113">
        <v>7767</v>
      </c>
      <c r="T936" s="113"/>
      <c r="U936" s="113"/>
      <c r="V936" s="112">
        <v>239257</v>
      </c>
      <c r="W936" s="112">
        <v>117631</v>
      </c>
      <c r="X936" s="112">
        <v>93072</v>
      </c>
      <c r="Y936" s="112">
        <v>92778</v>
      </c>
      <c r="Z936" s="112">
        <v>173151</v>
      </c>
    </row>
    <row r="937" spans="1:26" ht="18" hidden="1" customHeight="1" x14ac:dyDescent="0.2">
      <c r="A937" s="47">
        <f t="shared" si="496"/>
        <v>43788</v>
      </c>
      <c r="B937" s="47" t="s">
        <v>97</v>
      </c>
      <c r="C937" s="48">
        <f t="shared" ref="C937" si="500">(V938-V937)*1+(W938-W937)*32+(X938-X937)*12+(Y938-Y937)*6</f>
        <v>1859</v>
      </c>
      <c r="D937" s="99">
        <f t="shared" si="454"/>
        <v>2032</v>
      </c>
      <c r="E937" s="45">
        <f t="shared" si="455"/>
        <v>1469</v>
      </c>
      <c r="F937" s="45">
        <f t="shared" ref="F937" si="501">(Z938-Z937)*1</f>
        <v>93</v>
      </c>
      <c r="G937" s="79">
        <f t="shared" ref="G937" si="502">C937+D937+F937+E937</f>
        <v>5453</v>
      </c>
      <c r="H937" s="199">
        <v>4535</v>
      </c>
      <c r="I937" s="199">
        <v>1132</v>
      </c>
      <c r="J937" s="200">
        <f t="shared" si="464"/>
        <v>5667</v>
      </c>
      <c r="K937" s="201">
        <f t="shared" si="465"/>
        <v>214</v>
      </c>
      <c r="L937" s="43"/>
      <c r="N937" s="112">
        <v>175167</v>
      </c>
      <c r="O937" s="112">
        <v>893593</v>
      </c>
      <c r="P937" s="112">
        <v>8251</v>
      </c>
      <c r="Q937" s="112"/>
      <c r="R937" s="112">
        <v>35146</v>
      </c>
      <c r="S937" s="113">
        <v>7780.5</v>
      </c>
      <c r="T937" s="113"/>
      <c r="U937" s="113"/>
      <c r="V937" s="112">
        <v>239433</v>
      </c>
      <c r="W937" s="112">
        <v>117658</v>
      </c>
      <c r="X937" s="112">
        <v>93128</v>
      </c>
      <c r="Y937" s="112">
        <v>92778</v>
      </c>
      <c r="Z937" s="112">
        <v>173227</v>
      </c>
    </row>
    <row r="938" spans="1:26" ht="18" hidden="1" customHeight="1" x14ac:dyDescent="0.2">
      <c r="A938" s="47">
        <f t="shared" si="496"/>
        <v>43789</v>
      </c>
      <c r="B938" s="47" t="s">
        <v>98</v>
      </c>
      <c r="C938" s="48">
        <f t="shared" ref="C938" si="503">(V939-V938)*1+(W939-W938)*32+(X939-X938)*12+(Y939-Y938)*6</f>
        <v>1894</v>
      </c>
      <c r="D938" s="99">
        <f t="shared" si="454"/>
        <v>2248</v>
      </c>
      <c r="E938" s="45">
        <f t="shared" si="455"/>
        <v>1265.0000000000218</v>
      </c>
      <c r="F938" s="45">
        <f t="shared" ref="F938" si="504">(Z939-Z938)*1</f>
        <v>91</v>
      </c>
      <c r="G938" s="79">
        <f t="shared" ref="G938" si="505">C938+D938+F938+E938</f>
        <v>5498.0000000000218</v>
      </c>
      <c r="H938" s="199">
        <v>4406</v>
      </c>
      <c r="I938" s="199">
        <v>1094</v>
      </c>
      <c r="J938" s="200">
        <f t="shared" si="464"/>
        <v>5500</v>
      </c>
      <c r="K938" s="201">
        <f t="shared" si="465"/>
        <v>1.9999999999781721</v>
      </c>
      <c r="L938" s="43"/>
      <c r="N938" s="112">
        <v>175407</v>
      </c>
      <c r="O938" s="112">
        <v>893688</v>
      </c>
      <c r="P938" s="112">
        <v>8265</v>
      </c>
      <c r="Q938" s="112"/>
      <c r="R938" s="112">
        <v>35175</v>
      </c>
      <c r="S938" s="113">
        <v>7792.5</v>
      </c>
      <c r="T938" s="113"/>
      <c r="U938" s="113"/>
      <c r="V938" s="112">
        <v>239592</v>
      </c>
      <c r="W938" s="112">
        <v>117686</v>
      </c>
      <c r="X938" s="112">
        <v>93195</v>
      </c>
      <c r="Y938" s="112">
        <v>92778</v>
      </c>
      <c r="Z938" s="112">
        <v>173320</v>
      </c>
    </row>
    <row r="939" spans="1:26" ht="18" hidden="1" customHeight="1" x14ac:dyDescent="0.2">
      <c r="A939" s="47">
        <f t="shared" si="496"/>
        <v>43790</v>
      </c>
      <c r="B939" s="47" t="s">
        <v>99</v>
      </c>
      <c r="C939" s="48">
        <f t="shared" ref="C939" si="506">(V940-V939)*1+(W940-W939)*32+(X940-X939)*12+(Y940-Y939)*6</f>
        <v>1734</v>
      </c>
      <c r="D939" s="99">
        <f t="shared" si="454"/>
        <v>2904</v>
      </c>
      <c r="E939" s="45">
        <f t="shared" si="455"/>
        <v>1189.9999999999782</v>
      </c>
      <c r="F939" s="45">
        <f t="shared" ref="F939" si="507">(Z940-Z939)*1</f>
        <v>97</v>
      </c>
      <c r="G939" s="79">
        <f t="shared" ref="G939" si="508">C939+D939+F939+E939</f>
        <v>5924.9999999999782</v>
      </c>
      <c r="H939" s="199">
        <v>4232</v>
      </c>
      <c r="I939" s="199">
        <v>1137</v>
      </c>
      <c r="J939" s="200">
        <f t="shared" si="464"/>
        <v>5369</v>
      </c>
      <c r="K939" s="201">
        <f t="shared" si="465"/>
        <v>-555.99999999997817</v>
      </c>
      <c r="L939" s="43"/>
      <c r="N939" s="112">
        <v>175677</v>
      </c>
      <c r="O939" s="112">
        <v>893789</v>
      </c>
      <c r="P939" s="112">
        <v>8276</v>
      </c>
      <c r="Q939" s="112"/>
      <c r="R939" s="112">
        <v>35204</v>
      </c>
      <c r="S939" s="113">
        <v>7802.8</v>
      </c>
      <c r="T939" s="113"/>
      <c r="U939" s="113"/>
      <c r="V939" s="112">
        <v>239762</v>
      </c>
      <c r="W939" s="112">
        <v>117714</v>
      </c>
      <c r="X939" s="112">
        <v>93264</v>
      </c>
      <c r="Y939" s="112">
        <v>92778</v>
      </c>
      <c r="Z939" s="112">
        <v>173411</v>
      </c>
    </row>
    <row r="940" spans="1:26" ht="18" hidden="1" customHeight="1" x14ac:dyDescent="0.2">
      <c r="A940" s="47">
        <f t="shared" si="496"/>
        <v>43791</v>
      </c>
      <c r="B940" s="47" t="s">
        <v>100</v>
      </c>
      <c r="C940" s="48">
        <f t="shared" ref="C940:C942" si="509">(V941-V940)*1+(W941-W940)*32+(X941-X940)*12+(Y941-Y940)*6</f>
        <v>0</v>
      </c>
      <c r="D940" s="99">
        <f t="shared" si="454"/>
        <v>0</v>
      </c>
      <c r="E940" s="45">
        <f t="shared" si="455"/>
        <v>0</v>
      </c>
      <c r="F940" s="45">
        <f t="shared" ref="F940:F942" si="510">(Z941-Z940)*1</f>
        <v>0</v>
      </c>
      <c r="G940" s="79">
        <f t="shared" ref="G940:G942" si="511">C940+D940+F940+E940</f>
        <v>0</v>
      </c>
      <c r="H940" s="199">
        <v>4367</v>
      </c>
      <c r="I940" s="199">
        <v>1137</v>
      </c>
      <c r="J940" s="200">
        <f t="shared" si="464"/>
        <v>5504</v>
      </c>
      <c r="K940" s="201">
        <f t="shared" si="465"/>
        <v>5504</v>
      </c>
      <c r="L940" s="43"/>
      <c r="N940" s="112">
        <v>176027</v>
      </c>
      <c r="O940" s="112">
        <v>893886</v>
      </c>
      <c r="P940" s="112">
        <v>8289</v>
      </c>
      <c r="Q940" s="112"/>
      <c r="R940" s="112">
        <v>35230</v>
      </c>
      <c r="S940" s="113">
        <v>7812.5</v>
      </c>
      <c r="T940" s="113"/>
      <c r="U940" s="113"/>
      <c r="V940" s="112">
        <v>239924</v>
      </c>
      <c r="W940" s="112">
        <v>117741</v>
      </c>
      <c r="X940" s="112">
        <v>93323</v>
      </c>
      <c r="Y940" s="112">
        <v>92778</v>
      </c>
      <c r="Z940" s="112">
        <v>173508</v>
      </c>
    </row>
    <row r="941" spans="1:26" ht="18" hidden="1" customHeight="1" x14ac:dyDescent="0.2">
      <c r="A941" s="47">
        <f t="shared" si="496"/>
        <v>43792</v>
      </c>
      <c r="B941" s="56" t="s">
        <v>103</v>
      </c>
      <c r="C941" s="48">
        <f t="shared" si="509"/>
        <v>0</v>
      </c>
      <c r="D941" s="99">
        <f t="shared" si="454"/>
        <v>0</v>
      </c>
      <c r="E941" s="45">
        <f t="shared" si="455"/>
        <v>0</v>
      </c>
      <c r="F941" s="45">
        <f t="shared" si="510"/>
        <v>0</v>
      </c>
      <c r="G941" s="79">
        <f t="shared" si="511"/>
        <v>0</v>
      </c>
      <c r="H941" s="199">
        <v>0</v>
      </c>
      <c r="I941" s="199">
        <f>3138+1099</f>
        <v>4237</v>
      </c>
      <c r="J941" s="200">
        <f t="shared" si="464"/>
        <v>4237</v>
      </c>
      <c r="K941" s="201">
        <f t="shared" si="465"/>
        <v>4237</v>
      </c>
      <c r="L941" s="43"/>
      <c r="N941" s="153">
        <v>176027</v>
      </c>
      <c r="O941" s="153">
        <v>893886</v>
      </c>
      <c r="P941" s="153">
        <v>8289</v>
      </c>
      <c r="Q941" s="153"/>
      <c r="R941" s="153">
        <v>35230</v>
      </c>
      <c r="S941" s="154">
        <v>7812.5</v>
      </c>
      <c r="T941" s="154"/>
      <c r="U941" s="154"/>
      <c r="V941" s="153">
        <v>239924</v>
      </c>
      <c r="W941" s="153">
        <v>117741</v>
      </c>
      <c r="X941" s="153">
        <v>93323</v>
      </c>
      <c r="Y941" s="153">
        <v>92778</v>
      </c>
      <c r="Z941" s="153">
        <v>173508</v>
      </c>
    </row>
    <row r="942" spans="1:26" ht="18" hidden="1" customHeight="1" x14ac:dyDescent="0.2">
      <c r="A942" s="47">
        <f t="shared" si="496"/>
        <v>43793</v>
      </c>
      <c r="B942" s="56" t="s">
        <v>104</v>
      </c>
      <c r="C942" s="48">
        <f t="shared" si="509"/>
        <v>2906</v>
      </c>
      <c r="D942" s="99">
        <f t="shared" si="454"/>
        <v>5672</v>
      </c>
      <c r="E942" s="45">
        <f t="shared" si="455"/>
        <v>4123.0000000000437</v>
      </c>
      <c r="F942" s="45">
        <f t="shared" si="510"/>
        <v>226</v>
      </c>
      <c r="G942" s="79">
        <f t="shared" si="511"/>
        <v>12927.000000000044</v>
      </c>
      <c r="H942" s="199">
        <v>0</v>
      </c>
      <c r="I942" s="199">
        <v>4273</v>
      </c>
      <c r="J942" s="200">
        <f t="shared" si="464"/>
        <v>4273</v>
      </c>
      <c r="K942" s="201">
        <f t="shared" si="465"/>
        <v>-8654.0000000000437</v>
      </c>
      <c r="L942" s="43"/>
      <c r="N942" s="153">
        <v>176027</v>
      </c>
      <c r="O942" s="153">
        <v>893886</v>
      </c>
      <c r="P942" s="153">
        <v>8289</v>
      </c>
      <c r="Q942" s="153"/>
      <c r="R942" s="153">
        <v>35230</v>
      </c>
      <c r="S942" s="154">
        <v>7812.5</v>
      </c>
      <c r="T942" s="154"/>
      <c r="U942" s="154"/>
      <c r="V942" s="153">
        <v>239924</v>
      </c>
      <c r="W942" s="153">
        <v>117741</v>
      </c>
      <c r="X942" s="153">
        <v>93323</v>
      </c>
      <c r="Y942" s="153">
        <v>92778</v>
      </c>
      <c r="Z942" s="153">
        <v>173508</v>
      </c>
    </row>
    <row r="943" spans="1:26" ht="18" hidden="1" customHeight="1" x14ac:dyDescent="0.2">
      <c r="A943" s="47">
        <f t="shared" si="496"/>
        <v>43794</v>
      </c>
      <c r="B943" s="47" t="s">
        <v>96</v>
      </c>
      <c r="C943" s="48">
        <f t="shared" ref="C943" si="512">(V944-V943)*1+(W944-W943)*32+(X944-X943)*12+(Y944-Y943)*6</f>
        <v>2108</v>
      </c>
      <c r="D943" s="99">
        <f t="shared" si="454"/>
        <v>2184</v>
      </c>
      <c r="E943" s="45">
        <f t="shared" si="455"/>
        <v>1510.9999999999127</v>
      </c>
      <c r="F943" s="45">
        <f t="shared" ref="F943" si="513">(Z944-Z943)*1</f>
        <v>88</v>
      </c>
      <c r="G943" s="79">
        <f t="shared" ref="G943" si="514">C943+D943+F943+E943</f>
        <v>5890.9999999999127</v>
      </c>
      <c r="H943" s="199">
        <v>4823</v>
      </c>
      <c r="I943" s="199">
        <v>1127</v>
      </c>
      <c r="J943" s="200">
        <f t="shared" si="464"/>
        <v>5950</v>
      </c>
      <c r="K943" s="201">
        <f t="shared" si="465"/>
        <v>59.000000000087311</v>
      </c>
      <c r="L943" s="43"/>
      <c r="N943" s="112">
        <v>176707</v>
      </c>
      <c r="O943" s="112">
        <v>894181</v>
      </c>
      <c r="P943" s="112">
        <v>8318</v>
      </c>
      <c r="Q943" s="112"/>
      <c r="R943" s="112">
        <v>35321</v>
      </c>
      <c r="S943" s="113">
        <v>7846.1</v>
      </c>
      <c r="T943" s="113"/>
      <c r="U943" s="113"/>
      <c r="V943" s="112">
        <v>240334</v>
      </c>
      <c r="W943" s="112">
        <v>117792</v>
      </c>
      <c r="X943" s="112">
        <v>93395</v>
      </c>
      <c r="Y943" s="112">
        <v>92778</v>
      </c>
      <c r="Z943" s="112">
        <v>173734</v>
      </c>
    </row>
    <row r="944" spans="1:26" ht="18" hidden="1" customHeight="1" x14ac:dyDescent="0.2">
      <c r="A944" s="47">
        <f t="shared" si="496"/>
        <v>43795</v>
      </c>
      <c r="B944" s="47" t="s">
        <v>97</v>
      </c>
      <c r="C944" s="48">
        <f t="shared" ref="C944" si="515">(V945-V944)*1+(W945-W944)*32+(X945-X944)*12+(Y945-Y944)*6</f>
        <v>2063</v>
      </c>
      <c r="D944" s="99">
        <f t="shared" si="454"/>
        <v>2176</v>
      </c>
      <c r="E944" s="45">
        <f t="shared" si="455"/>
        <v>1303.0000000000437</v>
      </c>
      <c r="F944" s="45">
        <f t="shared" ref="F944" si="516">(Z945-Z944)*1</f>
        <v>97</v>
      </c>
      <c r="G944" s="79">
        <f t="shared" ref="G944" si="517">C944+D944+F944+E944</f>
        <v>5639.0000000000437</v>
      </c>
      <c r="H944" s="199">
        <v>4591</v>
      </c>
      <c r="I944" s="199">
        <v>1154</v>
      </c>
      <c r="J944" s="200">
        <f t="shared" si="464"/>
        <v>5745</v>
      </c>
      <c r="K944" s="201">
        <f t="shared" si="465"/>
        <v>105.99999999995634</v>
      </c>
      <c r="L944" s="43"/>
      <c r="N944" s="112">
        <v>176967</v>
      </c>
      <c r="O944" s="112">
        <v>894283</v>
      </c>
      <c r="P944" s="112">
        <v>8331</v>
      </c>
      <c r="Q944" s="112"/>
      <c r="R944" s="112">
        <v>35356</v>
      </c>
      <c r="S944" s="113">
        <v>7858.4</v>
      </c>
      <c r="T944" s="113"/>
      <c r="U944" s="113"/>
      <c r="V944" s="112">
        <v>240526</v>
      </c>
      <c r="W944" s="112">
        <v>117823</v>
      </c>
      <c r="X944" s="112">
        <v>93472</v>
      </c>
      <c r="Y944" s="112">
        <v>92778</v>
      </c>
      <c r="Z944" s="112">
        <v>173822</v>
      </c>
    </row>
    <row r="945" spans="1:26" ht="18" hidden="1" customHeight="1" x14ac:dyDescent="0.2">
      <c r="A945" s="47">
        <f t="shared" si="496"/>
        <v>43796</v>
      </c>
      <c r="B945" s="47" t="s">
        <v>98</v>
      </c>
      <c r="C945" s="48">
        <f t="shared" ref="C945" si="518">(V946-V945)*1+(W946-W945)*32+(X946-X945)*12+(Y946-Y945)*6</f>
        <v>1971</v>
      </c>
      <c r="D945" s="99">
        <f t="shared" si="454"/>
        <v>2112</v>
      </c>
      <c r="E945" s="45">
        <f t="shared" si="455"/>
        <v>1312.9999999999782</v>
      </c>
      <c r="F945" s="45">
        <f t="shared" ref="F945" si="519">(Z946-Z945)*1</f>
        <v>91</v>
      </c>
      <c r="G945" s="79">
        <f t="shared" ref="G945" si="520">C945+D945+F945+E945</f>
        <v>5486.9999999999782</v>
      </c>
      <c r="H945" s="199">
        <v>4592</v>
      </c>
      <c r="I945" s="199">
        <v>1115</v>
      </c>
      <c r="J945" s="200">
        <f t="shared" si="464"/>
        <v>5707</v>
      </c>
      <c r="K945" s="201">
        <f t="shared" si="465"/>
        <v>220.00000000002183</v>
      </c>
      <c r="L945" s="43"/>
      <c r="N945" s="112">
        <v>177227</v>
      </c>
      <c r="O945" s="112">
        <v>894380</v>
      </c>
      <c r="P945" s="112">
        <v>8343</v>
      </c>
      <c r="Q945" s="112"/>
      <c r="R945" s="112">
        <v>35387</v>
      </c>
      <c r="S945" s="113">
        <v>7869</v>
      </c>
      <c r="T945" s="113"/>
      <c r="U945" s="113"/>
      <c r="V945" s="112">
        <v>240697</v>
      </c>
      <c r="W945" s="112">
        <v>117854</v>
      </c>
      <c r="X945" s="112">
        <v>93547</v>
      </c>
      <c r="Y945" s="112">
        <v>92778</v>
      </c>
      <c r="Z945" s="112">
        <v>173919</v>
      </c>
    </row>
    <row r="946" spans="1:26" ht="18" hidden="1" customHeight="1" x14ac:dyDescent="0.2">
      <c r="A946" s="47">
        <f t="shared" si="496"/>
        <v>43797</v>
      </c>
      <c r="B946" s="47" t="s">
        <v>99</v>
      </c>
      <c r="C946" s="48">
        <f t="shared" ref="C946" si="521">(V947-V946)*1+(W947-W946)*32+(X947-X946)*12+(Y947-Y946)*6</f>
        <v>2150</v>
      </c>
      <c r="D946" s="99">
        <f t="shared" si="454"/>
        <v>2080</v>
      </c>
      <c r="E946" s="45">
        <f t="shared" si="455"/>
        <v>1251.9999999999782</v>
      </c>
      <c r="F946" s="45">
        <f t="shared" ref="F946" si="522">(Z947-Z946)*1</f>
        <v>88</v>
      </c>
      <c r="G946" s="79">
        <f t="shared" ref="G946" si="523">C946+D946+F946+E946</f>
        <v>5569.9999999999782</v>
      </c>
      <c r="H946" s="199">
        <v>4579</v>
      </c>
      <c r="I946" s="199">
        <v>1105</v>
      </c>
      <c r="J946" s="200">
        <f t="shared" si="464"/>
        <v>5684</v>
      </c>
      <c r="K946" s="201">
        <f t="shared" si="465"/>
        <v>114.00000000002183</v>
      </c>
      <c r="L946" s="43"/>
      <c r="N946" s="112">
        <v>177477</v>
      </c>
      <c r="O946" s="112">
        <v>894477</v>
      </c>
      <c r="P946" s="112">
        <v>8357</v>
      </c>
      <c r="Q946" s="112"/>
      <c r="R946" s="112">
        <v>35416</v>
      </c>
      <c r="S946" s="113">
        <v>7879.7</v>
      </c>
      <c r="T946" s="113"/>
      <c r="U946" s="113"/>
      <c r="V946" s="112">
        <v>240872</v>
      </c>
      <c r="W946" s="112">
        <v>117882</v>
      </c>
      <c r="X946" s="112">
        <v>93622</v>
      </c>
      <c r="Y946" s="112">
        <v>92778</v>
      </c>
      <c r="Z946" s="112">
        <v>174010</v>
      </c>
    </row>
    <row r="947" spans="1:26" ht="18" hidden="1" customHeight="1" x14ac:dyDescent="0.2">
      <c r="A947" s="47">
        <f t="shared" si="496"/>
        <v>43798</v>
      </c>
      <c r="B947" s="47" t="s">
        <v>100</v>
      </c>
      <c r="C947" s="48">
        <f t="shared" ref="C947:C949" si="524">(V948-V947)*1+(W948-W947)*32+(X948-X947)*12+(Y948-Y947)*6</f>
        <v>0</v>
      </c>
      <c r="D947" s="99">
        <f t="shared" si="454"/>
        <v>0</v>
      </c>
      <c r="E947" s="45">
        <f t="shared" si="455"/>
        <v>0</v>
      </c>
      <c r="F947" s="45">
        <f t="shared" ref="F947:F949" si="525">(Z948-Z947)*1</f>
        <v>0</v>
      </c>
      <c r="G947" s="79">
        <f t="shared" ref="G947:G949" si="526">C947+D947+F947+E947</f>
        <v>0</v>
      </c>
      <c r="H947" s="199">
        <v>4389</v>
      </c>
      <c r="I947" s="199">
        <v>1061</v>
      </c>
      <c r="J947" s="200">
        <f t="shared" si="464"/>
        <v>5450</v>
      </c>
      <c r="K947" s="201">
        <f t="shared" si="465"/>
        <v>5450</v>
      </c>
      <c r="L947" s="43"/>
      <c r="N947" s="112">
        <v>177727</v>
      </c>
      <c r="O947" s="112">
        <v>894574</v>
      </c>
      <c r="P947" s="112">
        <v>8367</v>
      </c>
      <c r="Q947" s="112"/>
      <c r="R947" s="112">
        <v>35444</v>
      </c>
      <c r="S947" s="113">
        <v>7889.9</v>
      </c>
      <c r="T947" s="113"/>
      <c r="U947" s="113"/>
      <c r="V947" s="112">
        <v>241042</v>
      </c>
      <c r="W947" s="112">
        <v>117912</v>
      </c>
      <c r="X947" s="112">
        <v>93707</v>
      </c>
      <c r="Y947" s="112">
        <v>92778</v>
      </c>
      <c r="Z947" s="112">
        <v>174098</v>
      </c>
    </row>
    <row r="948" spans="1:26" ht="18" hidden="1" customHeight="1" x14ac:dyDescent="0.2">
      <c r="A948" s="47">
        <f t="shared" si="496"/>
        <v>43799</v>
      </c>
      <c r="B948" s="56" t="s">
        <v>103</v>
      </c>
      <c r="C948" s="48">
        <f t="shared" si="524"/>
        <v>0</v>
      </c>
      <c r="D948" s="99">
        <f t="shared" si="454"/>
        <v>0</v>
      </c>
      <c r="E948" s="45">
        <f t="shared" si="455"/>
        <v>0</v>
      </c>
      <c r="F948" s="45">
        <f t="shared" si="525"/>
        <v>0</v>
      </c>
      <c r="G948" s="79">
        <f t="shared" si="526"/>
        <v>0</v>
      </c>
      <c r="H948" s="199">
        <v>0</v>
      </c>
      <c r="I948" s="199">
        <f>2507+765</f>
        <v>3272</v>
      </c>
      <c r="J948" s="200">
        <f t="shared" si="464"/>
        <v>3272</v>
      </c>
      <c r="K948" s="201">
        <f t="shared" si="465"/>
        <v>3272</v>
      </c>
      <c r="L948" s="43"/>
      <c r="N948" s="153">
        <v>177727</v>
      </c>
      <c r="O948" s="153">
        <v>894574</v>
      </c>
      <c r="P948" s="153">
        <v>8367</v>
      </c>
      <c r="Q948" s="153"/>
      <c r="R948" s="153">
        <v>35444</v>
      </c>
      <c r="S948" s="154">
        <v>7889.9</v>
      </c>
      <c r="T948" s="154"/>
      <c r="U948" s="154"/>
      <c r="V948" s="153">
        <v>241042</v>
      </c>
      <c r="W948" s="153">
        <v>117912</v>
      </c>
      <c r="X948" s="153">
        <v>93707</v>
      </c>
      <c r="Y948" s="153">
        <v>92778</v>
      </c>
      <c r="Z948" s="153">
        <v>174098</v>
      </c>
    </row>
    <row r="949" spans="1:26" ht="18" hidden="1" customHeight="1" x14ac:dyDescent="0.2">
      <c r="A949" s="47">
        <f t="shared" si="496"/>
        <v>43800</v>
      </c>
      <c r="B949" s="56" t="s">
        <v>104</v>
      </c>
      <c r="C949" s="48">
        <f t="shared" si="524"/>
        <v>2794</v>
      </c>
      <c r="D949" s="99">
        <f t="shared" si="454"/>
        <v>4512</v>
      </c>
      <c r="E949" s="45">
        <f t="shared" si="455"/>
        <v>4286</v>
      </c>
      <c r="F949" s="45">
        <f t="shared" si="525"/>
        <v>300</v>
      </c>
      <c r="G949" s="79">
        <f t="shared" si="526"/>
        <v>11892</v>
      </c>
      <c r="H949" s="199">
        <v>0</v>
      </c>
      <c r="I949" s="199">
        <v>3538</v>
      </c>
      <c r="J949" s="200">
        <f t="shared" ref="J949:J979" si="527">H949+I949</f>
        <v>3538</v>
      </c>
      <c r="K949" s="201">
        <f t="shared" ref="K949:K979" si="528">J949-G949</f>
        <v>-8354</v>
      </c>
      <c r="L949" s="43"/>
      <c r="N949" s="153">
        <v>177727</v>
      </c>
      <c r="O949" s="153">
        <v>894574</v>
      </c>
      <c r="P949" s="153">
        <v>8367</v>
      </c>
      <c r="Q949" s="153"/>
      <c r="R949" s="153">
        <v>35444</v>
      </c>
      <c r="S949" s="154">
        <v>7889.9</v>
      </c>
      <c r="T949" s="154"/>
      <c r="U949" s="154"/>
      <c r="V949" s="153">
        <v>241042</v>
      </c>
      <c r="W949" s="153">
        <v>117912</v>
      </c>
      <c r="X949" s="153">
        <v>93707</v>
      </c>
      <c r="Y949" s="153">
        <v>92778</v>
      </c>
      <c r="Z949" s="153">
        <v>174098</v>
      </c>
    </row>
    <row r="950" spans="1:26" ht="18" hidden="1" customHeight="1" x14ac:dyDescent="0.2">
      <c r="A950" s="47">
        <f t="shared" si="496"/>
        <v>43801</v>
      </c>
      <c r="B950" s="47" t="s">
        <v>96</v>
      </c>
      <c r="C950" s="48">
        <f t="shared" ref="C950" si="529">(V951-V950)*1+(W951-W950)*32+(X951-X950)*12+(Y951-Y950)*6</f>
        <v>2166</v>
      </c>
      <c r="D950" s="99">
        <f t="shared" si="454"/>
        <v>2024</v>
      </c>
      <c r="E950" s="45">
        <f t="shared" si="455"/>
        <v>1637.0000000000655</v>
      </c>
      <c r="F950" s="45">
        <f t="shared" ref="F950" si="530">(Z951-Z950)*1</f>
        <v>111</v>
      </c>
      <c r="G950" s="79">
        <f t="shared" ref="G950" si="531">C950+D950+F950+E950</f>
        <v>5938.0000000000655</v>
      </c>
      <c r="H950" s="199">
        <v>4900</v>
      </c>
      <c r="I950" s="199">
        <v>1109</v>
      </c>
      <c r="J950" s="200">
        <f t="shared" si="527"/>
        <v>6009</v>
      </c>
      <c r="K950" s="201">
        <f t="shared" si="528"/>
        <v>70.999999999934516</v>
      </c>
      <c r="L950" s="43"/>
      <c r="N950" s="112">
        <v>178267</v>
      </c>
      <c r="O950" s="112">
        <v>894778</v>
      </c>
      <c r="P950" s="112">
        <v>8391</v>
      </c>
      <c r="Q950" s="112"/>
      <c r="R950" s="112">
        <v>35530</v>
      </c>
      <c r="S950" s="113">
        <v>7924.9</v>
      </c>
      <c r="T950" s="113"/>
      <c r="U950" s="113"/>
      <c r="V950" s="112">
        <v>241476</v>
      </c>
      <c r="W950" s="112">
        <v>117958</v>
      </c>
      <c r="X950" s="112">
        <v>93781</v>
      </c>
      <c r="Y950" s="112">
        <v>92778</v>
      </c>
      <c r="Z950" s="112">
        <v>174398</v>
      </c>
    </row>
    <row r="951" spans="1:26" ht="18" hidden="1" customHeight="1" x14ac:dyDescent="0.2">
      <c r="A951" s="47">
        <f t="shared" si="496"/>
        <v>43802</v>
      </c>
      <c r="B951" s="47" t="s">
        <v>97</v>
      </c>
      <c r="C951" s="48">
        <f t="shared" ref="C951" si="532">(V952-V951)*1+(W952-W951)*32+(X952-X951)*12+(Y952-Y951)*6</f>
        <v>2181</v>
      </c>
      <c r="D951" s="99">
        <f t="shared" si="454"/>
        <v>2240</v>
      </c>
      <c r="E951" s="45">
        <f t="shared" si="455"/>
        <v>1414.9999999999345</v>
      </c>
      <c r="F951" s="45">
        <f t="shared" ref="F951" si="533">(Z952-Z951)*1</f>
        <v>114</v>
      </c>
      <c r="G951" s="79">
        <f t="shared" ref="G951" si="534">C951+D951+F951+E951</f>
        <v>5949.9999999999345</v>
      </c>
      <c r="H951" s="199">
        <v>4807</v>
      </c>
      <c r="I951" s="199">
        <v>1129</v>
      </c>
      <c r="J951" s="200">
        <f t="shared" si="527"/>
        <v>5936</v>
      </c>
      <c r="K951" s="201">
        <f t="shared" si="528"/>
        <v>-13.999999999934516</v>
      </c>
      <c r="L951" s="43"/>
      <c r="N951" s="112">
        <v>178507</v>
      </c>
      <c r="O951" s="112">
        <v>894868</v>
      </c>
      <c r="P951" s="112">
        <v>8404</v>
      </c>
      <c r="Q951" s="112"/>
      <c r="R951" s="112">
        <v>35559</v>
      </c>
      <c r="S951" s="113">
        <v>7938.3</v>
      </c>
      <c r="T951" s="113"/>
      <c r="U951" s="113"/>
      <c r="V951" s="112">
        <v>241646</v>
      </c>
      <c r="W951" s="112">
        <v>117987</v>
      </c>
      <c r="X951" s="112">
        <v>93870</v>
      </c>
      <c r="Y951" s="112">
        <v>92778</v>
      </c>
      <c r="Z951" s="112">
        <v>174509</v>
      </c>
    </row>
    <row r="952" spans="1:26" ht="18" hidden="1" customHeight="1" x14ac:dyDescent="0.2">
      <c r="A952" s="47">
        <f t="shared" si="496"/>
        <v>43803</v>
      </c>
      <c r="B952" s="47" t="s">
        <v>98</v>
      </c>
      <c r="C952" s="48">
        <f t="shared" ref="C952" si="535">(V953-V952)*1+(W953-W952)*32+(X953-X952)*12+(Y953-Y952)*6</f>
        <v>1738</v>
      </c>
      <c r="D952" s="99">
        <f t="shared" si="454"/>
        <v>2088</v>
      </c>
      <c r="E952" s="45">
        <f t="shared" si="455"/>
        <v>1177</v>
      </c>
      <c r="F952" s="45">
        <f t="shared" ref="F952" si="536">(Z953-Z952)*1</f>
        <v>113</v>
      </c>
      <c r="G952" s="79">
        <f t="shared" ref="G952" si="537">C952+D952+F952+E952</f>
        <v>5116</v>
      </c>
      <c r="H952" s="199">
        <v>4206</v>
      </c>
      <c r="I952" s="199">
        <v>1159</v>
      </c>
      <c r="J952" s="200">
        <f t="shared" si="527"/>
        <v>5365</v>
      </c>
      <c r="K952" s="201">
        <f t="shared" si="528"/>
        <v>249</v>
      </c>
      <c r="L952" s="43"/>
      <c r="N952" s="112">
        <v>178777</v>
      </c>
      <c r="O952" s="112">
        <v>894968</v>
      </c>
      <c r="P952" s="112">
        <v>8414</v>
      </c>
      <c r="Q952" s="112"/>
      <c r="R952" s="112">
        <v>35582</v>
      </c>
      <c r="S952" s="113">
        <v>7949.9</v>
      </c>
      <c r="T952" s="113"/>
      <c r="U952" s="113"/>
      <c r="V952" s="112">
        <v>241815</v>
      </c>
      <c r="W952" s="112">
        <v>118018</v>
      </c>
      <c r="X952" s="112">
        <v>93955</v>
      </c>
      <c r="Y952" s="112">
        <v>92778</v>
      </c>
      <c r="Z952" s="112">
        <v>174623</v>
      </c>
    </row>
    <row r="953" spans="1:26" ht="18" hidden="1" customHeight="1" x14ac:dyDescent="0.2">
      <c r="A953" s="47">
        <f t="shared" si="496"/>
        <v>43804</v>
      </c>
      <c r="B953" s="47" t="s">
        <v>99</v>
      </c>
      <c r="C953" s="48">
        <f t="shared" ref="C953" si="538">(V954-V953)*1+(W954-W953)*32+(X954-X953)*12+(Y954-Y953)*6</f>
        <v>2093</v>
      </c>
      <c r="D953" s="99">
        <f t="shared" si="454"/>
        <v>1960</v>
      </c>
      <c r="E953" s="45">
        <f t="shared" si="455"/>
        <v>1310.0000000000873</v>
      </c>
      <c r="F953" s="45">
        <f t="shared" ref="F953" si="539">(Z954-Z953)*1</f>
        <v>115</v>
      </c>
      <c r="G953" s="79">
        <f t="shared" ref="G953" si="540">C953+D953+F953+E953</f>
        <v>5478.0000000000873</v>
      </c>
      <c r="H953" s="199">
        <v>4457</v>
      </c>
      <c r="I953" s="199">
        <v>1184</v>
      </c>
      <c r="J953" s="200">
        <f t="shared" si="527"/>
        <v>5641</v>
      </c>
      <c r="K953" s="201">
        <f t="shared" si="528"/>
        <v>162.99999999991269</v>
      </c>
      <c r="L953" s="43"/>
      <c r="N953" s="112">
        <v>179027</v>
      </c>
      <c r="O953" s="112">
        <v>895068</v>
      </c>
      <c r="P953" s="112">
        <v>8425</v>
      </c>
      <c r="Q953" s="112"/>
      <c r="R953" s="112">
        <v>35619</v>
      </c>
      <c r="S953" s="113">
        <v>7959.4</v>
      </c>
      <c r="T953" s="113"/>
      <c r="U953" s="113"/>
      <c r="V953" s="112">
        <v>241977</v>
      </c>
      <c r="W953" s="112">
        <v>118041</v>
      </c>
      <c r="X953" s="112">
        <v>94025</v>
      </c>
      <c r="Y953" s="112">
        <v>92778</v>
      </c>
      <c r="Z953" s="112">
        <v>174736</v>
      </c>
    </row>
    <row r="954" spans="1:26" ht="18" hidden="1" customHeight="1" x14ac:dyDescent="0.2">
      <c r="A954" s="47">
        <f t="shared" si="496"/>
        <v>43805</v>
      </c>
      <c r="B954" s="47" t="s">
        <v>100</v>
      </c>
      <c r="C954" s="48">
        <f t="shared" ref="C954:C956" si="541">(V955-V954)*1+(W955-W954)*32+(X955-X954)*12+(Y955-Y954)*6</f>
        <v>0</v>
      </c>
      <c r="D954" s="99">
        <f t="shared" si="454"/>
        <v>0</v>
      </c>
      <c r="E954" s="45">
        <f t="shared" si="455"/>
        <v>0</v>
      </c>
      <c r="F954" s="45">
        <f t="shared" ref="F954:F956" si="542">(Z955-Z954)*1</f>
        <v>0</v>
      </c>
      <c r="G954" s="79">
        <f t="shared" ref="G954:G956" si="543">C954+D954+F954+E954</f>
        <v>0</v>
      </c>
      <c r="H954" s="199">
        <v>3972</v>
      </c>
      <c r="I954" s="199">
        <v>1110</v>
      </c>
      <c r="J954" s="200">
        <f t="shared" si="527"/>
        <v>5082</v>
      </c>
      <c r="K954" s="201">
        <f t="shared" si="528"/>
        <v>5082</v>
      </c>
      <c r="L954" s="43"/>
      <c r="N954" s="112">
        <v>179277</v>
      </c>
      <c r="O954" s="112">
        <v>895157</v>
      </c>
      <c r="P954" s="112">
        <v>8420</v>
      </c>
      <c r="Q954" s="112"/>
      <c r="R954" s="112">
        <v>35645</v>
      </c>
      <c r="S954" s="113">
        <v>7970.1</v>
      </c>
      <c r="T954" s="113"/>
      <c r="U954" s="113"/>
      <c r="V954" s="112">
        <v>242138</v>
      </c>
      <c r="W954" s="112">
        <v>118074</v>
      </c>
      <c r="X954" s="112">
        <v>94098</v>
      </c>
      <c r="Y954" s="112">
        <v>92778</v>
      </c>
      <c r="Z954" s="112">
        <v>174851</v>
      </c>
    </row>
    <row r="955" spans="1:26" ht="18" hidden="1" customHeight="1" x14ac:dyDescent="0.2">
      <c r="A955" s="47">
        <f t="shared" si="496"/>
        <v>43806</v>
      </c>
      <c r="B955" s="56" t="s">
        <v>103</v>
      </c>
      <c r="C955" s="48">
        <f t="shared" si="541"/>
        <v>0</v>
      </c>
      <c r="D955" s="99">
        <f t="shared" si="454"/>
        <v>0</v>
      </c>
      <c r="E955" s="45">
        <f t="shared" si="455"/>
        <v>0</v>
      </c>
      <c r="F955" s="45">
        <f t="shared" si="542"/>
        <v>0</v>
      </c>
      <c r="G955" s="79">
        <f t="shared" si="543"/>
        <v>0</v>
      </c>
      <c r="H955" s="199">
        <v>0</v>
      </c>
      <c r="I955" s="199">
        <f>2531+760</f>
        <v>3291</v>
      </c>
      <c r="J955" s="200">
        <f t="shared" si="527"/>
        <v>3291</v>
      </c>
      <c r="K955" s="201">
        <f t="shared" si="528"/>
        <v>3291</v>
      </c>
      <c r="L955" s="43"/>
      <c r="N955" s="153">
        <v>179277</v>
      </c>
      <c r="O955" s="153">
        <v>895157</v>
      </c>
      <c r="P955" s="153">
        <v>8420</v>
      </c>
      <c r="Q955" s="153"/>
      <c r="R955" s="153">
        <v>35645</v>
      </c>
      <c r="S955" s="154">
        <v>7970.1</v>
      </c>
      <c r="T955" s="154"/>
      <c r="U955" s="154"/>
      <c r="V955" s="153">
        <v>242138</v>
      </c>
      <c r="W955" s="153">
        <v>118074</v>
      </c>
      <c r="X955" s="153">
        <v>94098</v>
      </c>
      <c r="Y955" s="153">
        <v>92778</v>
      </c>
      <c r="Z955" s="153">
        <v>174851</v>
      </c>
    </row>
    <row r="956" spans="1:26" ht="18" hidden="1" customHeight="1" x14ac:dyDescent="0.2">
      <c r="A956" s="47">
        <f t="shared" si="496"/>
        <v>43807</v>
      </c>
      <c r="B956" s="56" t="s">
        <v>104</v>
      </c>
      <c r="C956" s="48">
        <f t="shared" si="541"/>
        <v>2406</v>
      </c>
      <c r="D956" s="99">
        <f t="shared" si="454"/>
        <v>4632</v>
      </c>
      <c r="E956" s="45">
        <f t="shared" si="455"/>
        <v>4401</v>
      </c>
      <c r="F956" s="45">
        <f t="shared" si="542"/>
        <v>325</v>
      </c>
      <c r="G956" s="79">
        <f t="shared" si="543"/>
        <v>11764</v>
      </c>
      <c r="H956" s="199">
        <v>0</v>
      </c>
      <c r="I956" s="199">
        <v>3711</v>
      </c>
      <c r="J956" s="200">
        <f t="shared" si="527"/>
        <v>3711</v>
      </c>
      <c r="K956" s="201">
        <f t="shared" si="528"/>
        <v>-8053</v>
      </c>
      <c r="L956" s="43"/>
      <c r="N956" s="153">
        <v>179277</v>
      </c>
      <c r="O956" s="153">
        <v>895157</v>
      </c>
      <c r="P956" s="153">
        <v>8420</v>
      </c>
      <c r="Q956" s="153"/>
      <c r="R956" s="153">
        <v>35645</v>
      </c>
      <c r="S956" s="154">
        <v>7970.1</v>
      </c>
      <c r="T956" s="154"/>
      <c r="U956" s="154"/>
      <c r="V956" s="153">
        <v>242138</v>
      </c>
      <c r="W956" s="153">
        <v>118074</v>
      </c>
      <c r="X956" s="153">
        <v>94098</v>
      </c>
      <c r="Y956" s="153">
        <v>92778</v>
      </c>
      <c r="Z956" s="153">
        <v>174851</v>
      </c>
    </row>
    <row r="957" spans="1:26" ht="18" hidden="1" customHeight="1" x14ac:dyDescent="0.2">
      <c r="A957" s="47">
        <f t="shared" si="496"/>
        <v>43808</v>
      </c>
      <c r="B957" s="47" t="s">
        <v>96</v>
      </c>
      <c r="C957" s="48">
        <f t="shared" ref="C957" si="544">(V958-V957)*1+(W958-W957)*32+(X958-X957)*12+(Y958-Y957)*6</f>
        <v>1992</v>
      </c>
      <c r="D957" s="99">
        <f t="shared" si="454"/>
        <v>2016</v>
      </c>
      <c r="E957" s="45">
        <f t="shared" si="455"/>
        <v>1541.9999999999345</v>
      </c>
      <c r="F957" s="45">
        <f t="shared" ref="F957" si="545">(Z958-Z957)*1</f>
        <v>106</v>
      </c>
      <c r="G957" s="79">
        <f t="shared" ref="G957" si="546">C957+D957+F957+E957</f>
        <v>5655.9999999999345</v>
      </c>
      <c r="H957" s="199">
        <v>4461</v>
      </c>
      <c r="I957" s="199">
        <v>1091</v>
      </c>
      <c r="J957" s="200">
        <f t="shared" si="527"/>
        <v>5552</v>
      </c>
      <c r="K957" s="201">
        <f t="shared" si="528"/>
        <v>-103.99999999993452</v>
      </c>
      <c r="L957" s="43">
        <f>X957-X956</f>
        <v>60</v>
      </c>
      <c r="N957" s="112">
        <v>179817</v>
      </c>
      <c r="O957" s="112">
        <v>895361</v>
      </c>
      <c r="P957" s="112">
        <v>8459</v>
      </c>
      <c r="Q957" s="112"/>
      <c r="R957" s="112">
        <v>35726</v>
      </c>
      <c r="S957" s="113">
        <v>8006.1</v>
      </c>
      <c r="T957" s="113"/>
      <c r="U957" s="113"/>
      <c r="V957" s="112">
        <v>242512</v>
      </c>
      <c r="W957" s="112">
        <v>118115</v>
      </c>
      <c r="X957" s="112">
        <v>94158</v>
      </c>
      <c r="Y957" s="112">
        <v>92778</v>
      </c>
      <c r="Z957" s="112">
        <v>175176</v>
      </c>
    </row>
    <row r="958" spans="1:26" ht="18" hidden="1" customHeight="1" x14ac:dyDescent="0.2">
      <c r="A958" s="47">
        <f t="shared" si="496"/>
        <v>43809</v>
      </c>
      <c r="B958" s="47" t="s">
        <v>97</v>
      </c>
      <c r="C958" s="48">
        <f t="shared" ref="C958" si="547">(V959-V958)*1+(W959-W958)*32+(X959-X958)*12+(Y959-Y958)*6</f>
        <v>1423</v>
      </c>
      <c r="D958" s="99">
        <f t="shared" si="454"/>
        <v>1872</v>
      </c>
      <c r="E958" s="45">
        <f t="shared" si="455"/>
        <v>1347</v>
      </c>
      <c r="F958" s="45">
        <f t="shared" ref="F958" si="548">(Z959-Z958)*1</f>
        <v>93</v>
      </c>
      <c r="G958" s="79">
        <f t="shared" ref="G958" si="549">C958+D958+F958+E958</f>
        <v>4735</v>
      </c>
      <c r="H958" s="199">
        <v>3951</v>
      </c>
      <c r="I958" s="199">
        <v>1053</v>
      </c>
      <c r="J958" s="200">
        <f t="shared" si="527"/>
        <v>5004</v>
      </c>
      <c r="K958" s="201">
        <f t="shared" si="528"/>
        <v>269</v>
      </c>
      <c r="L958" s="43">
        <f>X958-X957</f>
        <v>67</v>
      </c>
      <c r="N958" s="112">
        <v>180057</v>
      </c>
      <c r="O958" s="112">
        <v>895452</v>
      </c>
      <c r="P958" s="112">
        <v>8471</v>
      </c>
      <c r="Q958" s="112"/>
      <c r="R958" s="112">
        <v>35756</v>
      </c>
      <c r="S958" s="113">
        <v>8018.7</v>
      </c>
      <c r="T958" s="113"/>
      <c r="U958" s="113"/>
      <c r="V958" s="112">
        <v>242676</v>
      </c>
      <c r="W958" s="112">
        <v>118147</v>
      </c>
      <c r="X958" s="112">
        <v>94225</v>
      </c>
      <c r="Y958" s="112">
        <v>92778</v>
      </c>
      <c r="Z958" s="112">
        <v>175282</v>
      </c>
    </row>
    <row r="959" spans="1:26" ht="18" hidden="1" customHeight="1" x14ac:dyDescent="0.2">
      <c r="A959" s="47">
        <f t="shared" si="496"/>
        <v>43810</v>
      </c>
      <c r="B959" s="47" t="s">
        <v>98</v>
      </c>
      <c r="C959" s="48">
        <f t="shared" ref="C959" si="550">(V960-V959)*1+(W960-W959)*32+(X960-X959)*12+(Y960-Y959)*6</f>
        <v>1340</v>
      </c>
      <c r="D959" s="99">
        <f t="shared" si="454"/>
        <v>1928</v>
      </c>
      <c r="E959" s="45">
        <f t="shared" si="455"/>
        <v>1290</v>
      </c>
      <c r="F959" s="45">
        <f t="shared" ref="F959" si="551">(Z960-Z959)*1</f>
        <v>113</v>
      </c>
      <c r="G959" s="79">
        <f t="shared" ref="G959" si="552">C959+D959+F959+E959</f>
        <v>4671</v>
      </c>
      <c r="H959" s="199">
        <v>3858</v>
      </c>
      <c r="I959" s="199">
        <v>1030</v>
      </c>
      <c r="J959" s="200">
        <f t="shared" si="527"/>
        <v>4888</v>
      </c>
      <c r="K959" s="201">
        <f t="shared" si="528"/>
        <v>217</v>
      </c>
      <c r="L959" s="43">
        <f>X959-X958</f>
        <v>60</v>
      </c>
      <c r="N959" s="112">
        <v>180277</v>
      </c>
      <c r="O959" s="112">
        <v>855379</v>
      </c>
      <c r="P959" s="112">
        <v>8485</v>
      </c>
      <c r="Q959" s="112"/>
      <c r="R959" s="112">
        <v>35783</v>
      </c>
      <c r="S959" s="113">
        <v>8029.7</v>
      </c>
      <c r="T959" s="113"/>
      <c r="U959" s="113"/>
      <c r="V959" s="112">
        <v>242835</v>
      </c>
      <c r="W959" s="112">
        <v>118164</v>
      </c>
      <c r="X959" s="112">
        <v>94285</v>
      </c>
      <c r="Y959" s="112">
        <v>92778</v>
      </c>
      <c r="Z959" s="112">
        <v>175375</v>
      </c>
    </row>
    <row r="960" spans="1:26" ht="18" hidden="1" customHeight="1" x14ac:dyDescent="0.2">
      <c r="A960" s="47">
        <f t="shared" si="496"/>
        <v>43811</v>
      </c>
      <c r="B960" s="47" t="s">
        <v>99</v>
      </c>
      <c r="C960" s="48">
        <f t="shared" ref="C960" si="553">(V961-V960)*1+(W961-W960)*32+(X961-X960)*12+(Y961-Y960)*6</f>
        <v>1572</v>
      </c>
      <c r="D960" s="99">
        <f t="shared" si="454"/>
        <v>2000</v>
      </c>
      <c r="E960" s="45">
        <f t="shared" si="455"/>
        <v>1250.9999999999782</v>
      </c>
      <c r="F960" s="45">
        <f t="shared" ref="F960" si="554">(Z961-Z960)*1</f>
        <v>102</v>
      </c>
      <c r="G960" s="79">
        <f t="shared" ref="G960" si="555">C960+D960+F960+E960</f>
        <v>4924.9999999999782</v>
      </c>
      <c r="H960" s="199">
        <v>3970</v>
      </c>
      <c r="I960" s="199">
        <v>1085</v>
      </c>
      <c r="J960" s="200">
        <f t="shared" si="527"/>
        <v>5055</v>
      </c>
      <c r="K960" s="201">
        <f t="shared" si="528"/>
        <v>130.00000000002183</v>
      </c>
      <c r="L960" s="43">
        <f>X960-X959</f>
        <v>37</v>
      </c>
      <c r="N960" s="112">
        <v>180507</v>
      </c>
      <c r="O960" s="112">
        <v>895621</v>
      </c>
      <c r="P960" s="112">
        <v>8496</v>
      </c>
      <c r="Q960" s="112"/>
      <c r="R960" s="112">
        <v>35813</v>
      </c>
      <c r="S960" s="113">
        <v>8040.2</v>
      </c>
      <c r="T960" s="113"/>
      <c r="U960" s="113"/>
      <c r="V960" s="112">
        <v>242995</v>
      </c>
      <c r="W960" s="112">
        <v>118187</v>
      </c>
      <c r="X960" s="112">
        <v>94322</v>
      </c>
      <c r="Y960" s="112">
        <v>92778</v>
      </c>
      <c r="Z960" s="112">
        <v>175488</v>
      </c>
    </row>
    <row r="961" spans="1:26" ht="18" hidden="1" customHeight="1" x14ac:dyDescent="0.2">
      <c r="A961" s="47">
        <f t="shared" si="496"/>
        <v>43812</v>
      </c>
      <c r="B961" s="47" t="s">
        <v>100</v>
      </c>
      <c r="C961" s="48">
        <f t="shared" ref="C961:C963" si="556">(V962-V961)*1+(W962-W961)*32+(X962-X961)*12+(Y962-Y961)*6</f>
        <v>0</v>
      </c>
      <c r="D961" s="99">
        <f t="shared" si="454"/>
        <v>0</v>
      </c>
      <c r="E961" s="45">
        <f t="shared" si="455"/>
        <v>0</v>
      </c>
      <c r="F961" s="45">
        <f t="shared" ref="F961:F963" si="557">(Z962-Z961)*1</f>
        <v>0</v>
      </c>
      <c r="G961" s="79">
        <f t="shared" ref="G961:G963" si="558">C961+D961+F961+E961</f>
        <v>0</v>
      </c>
      <c r="H961" s="199">
        <v>3397</v>
      </c>
      <c r="I961" s="199">
        <v>1034</v>
      </c>
      <c r="J961" s="200">
        <f t="shared" si="527"/>
        <v>4431</v>
      </c>
      <c r="K961" s="201">
        <f t="shared" si="528"/>
        <v>4431</v>
      </c>
      <c r="L961" s="43">
        <f>X961-X960</f>
        <v>51</v>
      </c>
      <c r="N961" s="112">
        <v>180747</v>
      </c>
      <c r="O961" s="112">
        <v>895716</v>
      </c>
      <c r="P961" s="112">
        <v>8506</v>
      </c>
      <c r="Q961" s="112"/>
      <c r="R961" s="112">
        <v>35840</v>
      </c>
      <c r="S961" s="113">
        <v>8050.4</v>
      </c>
      <c r="T961" s="113"/>
      <c r="U961" s="113"/>
      <c r="V961" s="112">
        <v>243155</v>
      </c>
      <c r="W961" s="112">
        <v>118212</v>
      </c>
      <c r="X961" s="112">
        <v>94373</v>
      </c>
      <c r="Y961" s="112">
        <v>92778</v>
      </c>
      <c r="Z961" s="112">
        <v>175590</v>
      </c>
    </row>
    <row r="962" spans="1:26" ht="18" hidden="1" customHeight="1" x14ac:dyDescent="0.2">
      <c r="A962" s="47">
        <f t="shared" si="496"/>
        <v>43813</v>
      </c>
      <c r="B962" s="56" t="s">
        <v>103</v>
      </c>
      <c r="C962" s="48">
        <f t="shared" si="556"/>
        <v>0</v>
      </c>
      <c r="D962" s="99">
        <f t="shared" si="454"/>
        <v>0</v>
      </c>
      <c r="E962" s="45">
        <f t="shared" si="455"/>
        <v>0</v>
      </c>
      <c r="F962" s="45">
        <f t="shared" si="557"/>
        <v>0</v>
      </c>
      <c r="G962" s="79">
        <f t="shared" si="558"/>
        <v>0</v>
      </c>
      <c r="H962" s="199">
        <v>0</v>
      </c>
      <c r="I962" s="199">
        <f>2499+723</f>
        <v>3222</v>
      </c>
      <c r="J962" s="200">
        <f t="shared" si="527"/>
        <v>3222</v>
      </c>
      <c r="K962" s="201">
        <f t="shared" si="528"/>
        <v>3222</v>
      </c>
      <c r="L962" s="43"/>
      <c r="N962" s="153">
        <v>180747</v>
      </c>
      <c r="O962" s="153">
        <v>895716</v>
      </c>
      <c r="P962" s="153">
        <v>8506</v>
      </c>
      <c r="Q962" s="153"/>
      <c r="R962" s="153">
        <v>35840</v>
      </c>
      <c r="S962" s="154">
        <v>8050.4</v>
      </c>
      <c r="T962" s="154"/>
      <c r="U962" s="154"/>
      <c r="V962" s="153">
        <v>243155</v>
      </c>
      <c r="W962" s="153">
        <v>118212</v>
      </c>
      <c r="X962" s="153">
        <v>94373</v>
      </c>
      <c r="Y962" s="153">
        <v>92778</v>
      </c>
      <c r="Z962" s="153">
        <v>175590</v>
      </c>
    </row>
    <row r="963" spans="1:26" ht="18" hidden="1" customHeight="1" x14ac:dyDescent="0.2">
      <c r="A963" s="47">
        <f t="shared" si="496"/>
        <v>43814</v>
      </c>
      <c r="B963" s="56" t="s">
        <v>104</v>
      </c>
      <c r="C963" s="48">
        <f t="shared" si="556"/>
        <v>2051</v>
      </c>
      <c r="D963" s="99">
        <f t="shared" si="454"/>
        <v>5072</v>
      </c>
      <c r="E963" s="45">
        <f t="shared" si="455"/>
        <v>4167</v>
      </c>
      <c r="F963" s="45">
        <f t="shared" si="557"/>
        <v>289</v>
      </c>
      <c r="G963" s="79">
        <f t="shared" si="558"/>
        <v>11579</v>
      </c>
      <c r="H963" s="199">
        <v>0</v>
      </c>
      <c r="I963" s="199">
        <v>3509</v>
      </c>
      <c r="J963" s="200">
        <f t="shared" si="527"/>
        <v>3509</v>
      </c>
      <c r="K963" s="201">
        <f t="shared" si="528"/>
        <v>-8070</v>
      </c>
      <c r="L963" s="43"/>
      <c r="N963" s="153">
        <v>180747</v>
      </c>
      <c r="O963" s="153">
        <v>895716</v>
      </c>
      <c r="P963" s="153">
        <v>8506</v>
      </c>
      <c r="Q963" s="153"/>
      <c r="R963" s="153">
        <v>35840</v>
      </c>
      <c r="S963" s="154">
        <v>8050.4</v>
      </c>
      <c r="T963" s="154"/>
      <c r="U963" s="154"/>
      <c r="V963" s="153">
        <v>243155</v>
      </c>
      <c r="W963" s="153">
        <v>118212</v>
      </c>
      <c r="X963" s="153">
        <v>94373</v>
      </c>
      <c r="Y963" s="153">
        <v>92778</v>
      </c>
      <c r="Z963" s="153">
        <v>175590</v>
      </c>
    </row>
    <row r="964" spans="1:26" ht="18" hidden="1" customHeight="1" x14ac:dyDescent="0.2">
      <c r="A964" s="47">
        <f t="shared" si="496"/>
        <v>43815</v>
      </c>
      <c r="B964" s="47" t="s">
        <v>96</v>
      </c>
      <c r="C964" s="48">
        <f t="shared" ref="C964" si="559">(V965-V964)*1+(W965-W964)*32+(X965-X964)*12+(Y965-Y964)*6</f>
        <v>1946</v>
      </c>
      <c r="D964" s="99">
        <f t="shared" si="454"/>
        <v>976</v>
      </c>
      <c r="E964" s="45">
        <f t="shared" si="455"/>
        <v>1545.0000000000437</v>
      </c>
      <c r="F964" s="45">
        <f t="shared" ref="F964" si="560">(Z965-Z964)*1</f>
        <v>90</v>
      </c>
      <c r="G964" s="79">
        <f t="shared" ref="G964" si="561">C964+D964+F964+E964</f>
        <v>4557.0000000000437</v>
      </c>
      <c r="H964" s="199">
        <v>4513</v>
      </c>
      <c r="I964" s="199">
        <v>1084</v>
      </c>
      <c r="J964" s="200">
        <f t="shared" si="527"/>
        <v>5597</v>
      </c>
      <c r="K964" s="201">
        <f t="shared" si="528"/>
        <v>1039.9999999999563</v>
      </c>
      <c r="L964" s="43"/>
      <c r="N964" s="112">
        <v>181357</v>
      </c>
      <c r="O964" s="112">
        <v>895913</v>
      </c>
      <c r="P964" s="112">
        <v>8530</v>
      </c>
      <c r="Q964" s="112"/>
      <c r="R964" s="112">
        <v>35927</v>
      </c>
      <c r="S964" s="113">
        <v>8084.4</v>
      </c>
      <c r="T964" s="113"/>
      <c r="U964" s="113"/>
      <c r="V964" s="112">
        <v>243554</v>
      </c>
      <c r="W964" s="112">
        <v>118252</v>
      </c>
      <c r="X964" s="112">
        <v>94404</v>
      </c>
      <c r="Y964" s="112">
        <v>92778</v>
      </c>
      <c r="Z964" s="112">
        <v>175879</v>
      </c>
    </row>
    <row r="965" spans="1:26" ht="18" hidden="1" customHeight="1" x14ac:dyDescent="0.2">
      <c r="A965" s="47">
        <f t="shared" si="496"/>
        <v>43816</v>
      </c>
      <c r="B965" s="47" t="s">
        <v>97</v>
      </c>
      <c r="C965" s="48">
        <f t="shared" ref="C965" si="562">(V966-V965)*1+(W966-W965)*32+(X966-X965)*12+(Y966-Y965)*6</f>
        <v>2064</v>
      </c>
      <c r="D965" s="99">
        <f t="shared" si="454"/>
        <v>1952</v>
      </c>
      <c r="E965" s="45">
        <f t="shared" si="455"/>
        <v>1278.9999999999563</v>
      </c>
      <c r="F965" s="45">
        <f t="shared" ref="F965" si="563">(Z966-Z965)*1</f>
        <v>78</v>
      </c>
      <c r="G965" s="79">
        <f t="shared" ref="G965" si="564">C965+D965+F965+E965</f>
        <v>5372.9999999999563</v>
      </c>
      <c r="H965" s="199">
        <v>4454</v>
      </c>
      <c r="I965" s="199">
        <v>1018</v>
      </c>
      <c r="J965" s="200">
        <f t="shared" si="527"/>
        <v>5472</v>
      </c>
      <c r="K965" s="201">
        <f t="shared" si="528"/>
        <v>99.000000000043656</v>
      </c>
      <c r="L965" s="43"/>
      <c r="N965" s="112">
        <v>181467</v>
      </c>
      <c r="O965" s="112">
        <v>895996</v>
      </c>
      <c r="P965" s="112">
        <v>8542</v>
      </c>
      <c r="Q965" s="112"/>
      <c r="R965" s="112">
        <v>35960</v>
      </c>
      <c r="S965" s="113">
        <v>8097</v>
      </c>
      <c r="T965" s="113"/>
      <c r="U965" s="113"/>
      <c r="V965" s="112">
        <v>243736</v>
      </c>
      <c r="W965" s="112">
        <v>118282</v>
      </c>
      <c r="X965" s="112">
        <v>94471</v>
      </c>
      <c r="Y965" s="112">
        <v>92778</v>
      </c>
      <c r="Z965" s="112">
        <v>175969</v>
      </c>
    </row>
    <row r="966" spans="1:26" ht="18" hidden="1" customHeight="1" x14ac:dyDescent="0.2">
      <c r="A966" s="47">
        <f t="shared" si="496"/>
        <v>43817</v>
      </c>
      <c r="B966" s="47" t="s">
        <v>98</v>
      </c>
      <c r="C966" s="48">
        <f t="shared" ref="C966" si="565">(V967-V966)*1+(W967-W966)*32+(X967-X966)*12+(Y967-Y966)*6</f>
        <v>1576</v>
      </c>
      <c r="D966" s="99">
        <f t="shared" si="454"/>
        <v>1936</v>
      </c>
      <c r="E966" s="45">
        <f t="shared" si="455"/>
        <v>1290</v>
      </c>
      <c r="F966" s="45">
        <f t="shared" ref="F966" si="566">(Z967-Z966)*1</f>
        <v>92</v>
      </c>
      <c r="G966" s="79">
        <f t="shared" ref="G966" si="567">C966+D966+F966+E966</f>
        <v>4894</v>
      </c>
      <c r="H966" s="199">
        <v>3983</v>
      </c>
      <c r="I966" s="199">
        <v>1026</v>
      </c>
      <c r="J966" s="200">
        <f t="shared" si="527"/>
        <v>5009</v>
      </c>
      <c r="K966" s="201">
        <f t="shared" si="528"/>
        <v>115</v>
      </c>
      <c r="L966" s="43"/>
      <c r="N966" s="112">
        <v>181697</v>
      </c>
      <c r="O966" s="112">
        <v>89081</v>
      </c>
      <c r="P966" s="112">
        <v>8556</v>
      </c>
      <c r="Q966" s="112"/>
      <c r="R966" s="112">
        <v>35991</v>
      </c>
      <c r="S966" s="113">
        <v>8107.4</v>
      </c>
      <c r="T966" s="113"/>
      <c r="U966" s="113"/>
      <c r="V966" s="112">
        <v>243916</v>
      </c>
      <c r="W966" s="112">
        <v>118315</v>
      </c>
      <c r="X966" s="112">
        <v>94540</v>
      </c>
      <c r="Y966" s="112">
        <v>92778</v>
      </c>
      <c r="Z966" s="112">
        <v>176047</v>
      </c>
    </row>
    <row r="967" spans="1:26" ht="18" hidden="1" customHeight="1" x14ac:dyDescent="0.2">
      <c r="A967" s="47">
        <f t="shared" si="496"/>
        <v>43818</v>
      </c>
      <c r="B967" s="47" t="s">
        <v>99</v>
      </c>
      <c r="C967" s="48">
        <f t="shared" ref="C967" si="568">(V968-V967)*1+(W968-W967)*32+(X968-X967)*12+(Y968-Y967)*6</f>
        <v>1715</v>
      </c>
      <c r="D967" s="99">
        <f t="shared" si="454"/>
        <v>1936</v>
      </c>
      <c r="E967" s="45">
        <f t="shared" si="455"/>
        <v>1118.0000000000437</v>
      </c>
      <c r="F967" s="45">
        <f t="shared" ref="F967" si="569">(Z968-Z967)*1</f>
        <v>93</v>
      </c>
      <c r="G967" s="79">
        <f t="shared" ref="G967" si="570">C967+D967+F967+E967</f>
        <v>4862.0000000000437</v>
      </c>
      <c r="H967" s="199">
        <v>3935</v>
      </c>
      <c r="I967" s="199">
        <v>1016</v>
      </c>
      <c r="J967" s="200">
        <f t="shared" si="527"/>
        <v>4951</v>
      </c>
      <c r="K967" s="201">
        <f t="shared" si="528"/>
        <v>88.999999999956344</v>
      </c>
      <c r="L967" s="43"/>
      <c r="N967" s="112">
        <v>181927</v>
      </c>
      <c r="O967" s="112">
        <v>96168</v>
      </c>
      <c r="P967" s="112">
        <v>8568</v>
      </c>
      <c r="Q967" s="112"/>
      <c r="R967" s="112">
        <v>36021</v>
      </c>
      <c r="S967" s="113">
        <v>8117.9</v>
      </c>
      <c r="T967" s="113"/>
      <c r="U967" s="113"/>
      <c r="V967" s="112">
        <v>244096</v>
      </c>
      <c r="W967" s="112">
        <v>118341</v>
      </c>
      <c r="X967" s="112">
        <v>94587</v>
      </c>
      <c r="Y967" s="112">
        <v>92778</v>
      </c>
      <c r="Z967" s="112">
        <v>176139</v>
      </c>
    </row>
    <row r="968" spans="1:26" ht="18" hidden="1" customHeight="1" x14ac:dyDescent="0.2">
      <c r="A968" s="47">
        <f t="shared" si="496"/>
        <v>43819</v>
      </c>
      <c r="B968" s="47" t="s">
        <v>100</v>
      </c>
      <c r="C968" s="48">
        <f t="shared" ref="C968:C970" si="571">(V969-V968)*1+(W969-W968)*32+(X969-X968)*12+(Y969-Y968)*6</f>
        <v>0</v>
      </c>
      <c r="D968" s="99">
        <f t="shared" si="454"/>
        <v>0</v>
      </c>
      <c r="E968" s="45">
        <f t="shared" si="455"/>
        <v>0</v>
      </c>
      <c r="F968" s="45">
        <f t="shared" ref="F968:F970" si="572">(Z969-Z968)*1</f>
        <v>0</v>
      </c>
      <c r="G968" s="79">
        <f t="shared" ref="G968:G970" si="573">C968+D968+F968+E968</f>
        <v>0</v>
      </c>
      <c r="H968" s="199">
        <v>4032</v>
      </c>
      <c r="I968" s="199">
        <v>1032</v>
      </c>
      <c r="J968" s="200">
        <f t="shared" si="527"/>
        <v>5064</v>
      </c>
      <c r="K968" s="201">
        <f t="shared" si="528"/>
        <v>5064</v>
      </c>
      <c r="L968" s="43"/>
      <c r="N968" s="112">
        <v>182157</v>
      </c>
      <c r="O968" s="112">
        <v>96258</v>
      </c>
      <c r="P968" s="112">
        <v>8580</v>
      </c>
      <c r="Q968" s="112"/>
      <c r="R968" s="112">
        <v>36047</v>
      </c>
      <c r="S968" s="113">
        <v>8127</v>
      </c>
      <c r="T968" s="113"/>
      <c r="U968" s="113"/>
      <c r="V968" s="112">
        <v>244259</v>
      </c>
      <c r="W968" s="112">
        <v>118367</v>
      </c>
      <c r="X968" s="112">
        <v>94647</v>
      </c>
      <c r="Y968" s="112">
        <v>92778</v>
      </c>
      <c r="Z968" s="112">
        <v>176232</v>
      </c>
    </row>
    <row r="969" spans="1:26" ht="18" hidden="1" customHeight="1" x14ac:dyDescent="0.2">
      <c r="A969" s="47">
        <f t="shared" si="496"/>
        <v>43820</v>
      </c>
      <c r="B969" s="56" t="s">
        <v>103</v>
      </c>
      <c r="C969" s="48">
        <f t="shared" si="571"/>
        <v>0</v>
      </c>
      <c r="D969" s="99">
        <f t="shared" si="454"/>
        <v>0</v>
      </c>
      <c r="E969" s="45">
        <f t="shared" si="455"/>
        <v>0</v>
      </c>
      <c r="F969" s="45">
        <f t="shared" si="572"/>
        <v>0</v>
      </c>
      <c r="G969" s="79">
        <f t="shared" si="573"/>
        <v>0</v>
      </c>
      <c r="H969" s="199">
        <v>0</v>
      </c>
      <c r="I969" s="199">
        <f>2432+728</f>
        <v>3160</v>
      </c>
      <c r="J969" s="200">
        <f t="shared" si="527"/>
        <v>3160</v>
      </c>
      <c r="K969" s="201">
        <f t="shared" si="528"/>
        <v>3160</v>
      </c>
      <c r="L969" s="43"/>
      <c r="N969" s="153">
        <v>182157</v>
      </c>
      <c r="O969" s="153">
        <v>96258</v>
      </c>
      <c r="P969" s="153">
        <v>8580</v>
      </c>
      <c r="Q969" s="153"/>
      <c r="R969" s="153">
        <v>36047</v>
      </c>
      <c r="S969" s="154">
        <v>8127</v>
      </c>
      <c r="T969" s="154"/>
      <c r="U969" s="154"/>
      <c r="V969" s="153">
        <v>244259</v>
      </c>
      <c r="W969" s="153">
        <v>118367</v>
      </c>
      <c r="X969" s="153">
        <v>94647</v>
      </c>
      <c r="Y969" s="153">
        <v>92778</v>
      </c>
      <c r="Z969" s="153">
        <v>176232</v>
      </c>
    </row>
    <row r="970" spans="1:26" ht="18" hidden="1" customHeight="1" x14ac:dyDescent="0.2">
      <c r="A970" s="47">
        <f t="shared" si="496"/>
        <v>43821</v>
      </c>
      <c r="B970" s="56" t="s">
        <v>104</v>
      </c>
      <c r="C970" s="48">
        <f t="shared" si="571"/>
        <v>2543</v>
      </c>
      <c r="D970" s="99">
        <f t="shared" si="454"/>
        <v>5248</v>
      </c>
      <c r="E970" s="45">
        <f t="shared" si="455"/>
        <v>3996.0000000000437</v>
      </c>
      <c r="F970" s="45">
        <f t="shared" si="572"/>
        <v>233</v>
      </c>
      <c r="G970" s="79">
        <f t="shared" si="573"/>
        <v>12020.000000000044</v>
      </c>
      <c r="H970" s="199">
        <v>0</v>
      </c>
      <c r="I970" s="199">
        <v>3391</v>
      </c>
      <c r="J970" s="200">
        <f t="shared" si="527"/>
        <v>3391</v>
      </c>
      <c r="K970" s="201">
        <f t="shared" si="528"/>
        <v>-8629.0000000000437</v>
      </c>
      <c r="L970" s="43"/>
      <c r="N970" s="153">
        <v>182157</v>
      </c>
      <c r="O970" s="153">
        <v>96258</v>
      </c>
      <c r="P970" s="153">
        <v>8580</v>
      </c>
      <c r="Q970" s="153"/>
      <c r="R970" s="153">
        <v>36047</v>
      </c>
      <c r="S970" s="154">
        <v>8127</v>
      </c>
      <c r="T970" s="154"/>
      <c r="U970" s="154"/>
      <c r="V970" s="153">
        <v>244259</v>
      </c>
      <c r="W970" s="153">
        <v>118367</v>
      </c>
      <c r="X970" s="153">
        <v>94647</v>
      </c>
      <c r="Y970" s="153">
        <v>92778</v>
      </c>
      <c r="Z970" s="153">
        <v>176232</v>
      </c>
    </row>
    <row r="971" spans="1:26" ht="18" hidden="1" customHeight="1" x14ac:dyDescent="0.2">
      <c r="A971" s="47">
        <f t="shared" si="496"/>
        <v>43822</v>
      </c>
      <c r="B971" s="47" t="s">
        <v>96</v>
      </c>
      <c r="C971" s="48">
        <f t="shared" ref="C971" si="574">(V972-V971)*1+(W972-W971)*32+(X972-X971)*12+(Y972-Y971)*6</f>
        <v>1914</v>
      </c>
      <c r="D971" s="99">
        <f t="shared" si="454"/>
        <v>1240</v>
      </c>
      <c r="E971" s="45">
        <f t="shared" si="455"/>
        <v>1518.9999999999563</v>
      </c>
      <c r="F971" s="45">
        <f t="shared" ref="F971" si="575">(Z972-Z971)*1</f>
        <v>55</v>
      </c>
      <c r="G971" s="79">
        <f t="shared" ref="G971" si="576">C971+D971+F971+E971</f>
        <v>4727.9999999999563</v>
      </c>
      <c r="H971" s="199">
        <v>4510</v>
      </c>
      <c r="I971" s="199">
        <v>1038</v>
      </c>
      <c r="J971" s="200">
        <f t="shared" si="527"/>
        <v>5548</v>
      </c>
      <c r="K971" s="201">
        <f t="shared" si="528"/>
        <v>820.00000000004366</v>
      </c>
      <c r="L971" s="43"/>
      <c r="N971" s="112">
        <v>182787</v>
      </c>
      <c r="O971" s="112">
        <v>96454</v>
      </c>
      <c r="P971" s="112">
        <v>8606</v>
      </c>
      <c r="Q971" s="112"/>
      <c r="R971" s="112">
        <v>36131</v>
      </c>
      <c r="S971" s="113">
        <v>8159.6</v>
      </c>
      <c r="T971" s="113"/>
      <c r="U971" s="113"/>
      <c r="V971" s="112">
        <v>244674</v>
      </c>
      <c r="W971" s="112">
        <v>118411</v>
      </c>
      <c r="X971" s="112">
        <v>94707</v>
      </c>
      <c r="Y971" s="112">
        <v>92778</v>
      </c>
      <c r="Z971" s="112">
        <v>176465</v>
      </c>
    </row>
    <row r="972" spans="1:26" ht="18" hidden="1" customHeight="1" x14ac:dyDescent="0.2">
      <c r="A972" s="47">
        <f t="shared" si="496"/>
        <v>43823</v>
      </c>
      <c r="B972" s="47" t="s">
        <v>97</v>
      </c>
      <c r="C972" s="48">
        <f t="shared" ref="C972" si="577">(V973-V972)*1+(W973-W972)*32+(X973-X972)*12+(Y973-Y972)*6</f>
        <v>1808</v>
      </c>
      <c r="D972" s="99">
        <f t="shared" si="454"/>
        <v>1936</v>
      </c>
      <c r="E972" s="45">
        <f t="shared" si="455"/>
        <v>1420.0000000000437</v>
      </c>
      <c r="F972" s="45">
        <f t="shared" ref="F972" si="578">(Z973-Z972)*1</f>
        <v>65</v>
      </c>
      <c r="G972" s="79">
        <f t="shared" ref="G972" si="579">C972+D972+F972+E972</f>
        <v>5229.0000000000437</v>
      </c>
      <c r="H972" s="199">
        <v>4391</v>
      </c>
      <c r="I972" s="199">
        <v>1058</v>
      </c>
      <c r="J972" s="200">
        <f t="shared" si="527"/>
        <v>5449</v>
      </c>
      <c r="K972" s="201">
        <f t="shared" si="528"/>
        <v>219.99999999995634</v>
      </c>
      <c r="L972" s="43"/>
      <c r="N972" s="112">
        <v>182927</v>
      </c>
      <c r="O972" s="112">
        <v>96546</v>
      </c>
      <c r="P972" s="112">
        <v>8621</v>
      </c>
      <c r="Q972" s="112"/>
      <c r="R972" s="112">
        <v>36162</v>
      </c>
      <c r="S972" s="113">
        <v>8172</v>
      </c>
      <c r="T972" s="113"/>
      <c r="U972" s="113"/>
      <c r="V972" s="112">
        <v>244832</v>
      </c>
      <c r="W972" s="112">
        <v>118440</v>
      </c>
      <c r="X972" s="112">
        <v>94776</v>
      </c>
      <c r="Y972" s="112">
        <v>92778</v>
      </c>
      <c r="Z972" s="112">
        <v>176520</v>
      </c>
    </row>
    <row r="973" spans="1:26" ht="18" hidden="1" customHeight="1" x14ac:dyDescent="0.2">
      <c r="A973" s="47">
        <f t="shared" si="496"/>
        <v>43824</v>
      </c>
      <c r="B973" s="47" t="s">
        <v>98</v>
      </c>
      <c r="C973" s="48">
        <f t="shared" ref="C973" si="580">(V974-V973)*1+(W974-W973)*32+(X974-X973)*12+(Y974-Y973)*6</f>
        <v>1790</v>
      </c>
      <c r="D973" s="99">
        <f t="shared" si="454"/>
        <v>2016</v>
      </c>
      <c r="E973" s="45">
        <f t="shared" si="455"/>
        <v>1362.0000000000437</v>
      </c>
      <c r="F973" s="45">
        <f t="shared" ref="F973" si="581">(Z974-Z973)*1</f>
        <v>59</v>
      </c>
      <c r="G973" s="79">
        <f t="shared" ref="G973" si="582">C973+D973+F973+E973</f>
        <v>5227.0000000000437</v>
      </c>
      <c r="H973" s="199">
        <v>4185</v>
      </c>
      <c r="I973" s="199">
        <v>1067</v>
      </c>
      <c r="J973" s="200">
        <f t="shared" si="527"/>
        <v>5252</v>
      </c>
      <c r="K973" s="201">
        <f t="shared" si="528"/>
        <v>24.999999999956344</v>
      </c>
      <c r="L973" s="43"/>
      <c r="N973" s="112">
        <v>183157</v>
      </c>
      <c r="O973" s="112">
        <v>96634</v>
      </c>
      <c r="P973" s="112">
        <v>8633</v>
      </c>
      <c r="Q973" s="112"/>
      <c r="R973" s="112">
        <v>36190</v>
      </c>
      <c r="S973" s="113">
        <v>8183.6</v>
      </c>
      <c r="T973" s="113"/>
      <c r="U973" s="113"/>
      <c r="V973" s="112">
        <v>244996</v>
      </c>
      <c r="W973" s="112">
        <v>118467</v>
      </c>
      <c r="X973" s="112">
        <v>94841</v>
      </c>
      <c r="Y973" s="112">
        <v>92778</v>
      </c>
      <c r="Z973" s="112">
        <v>176585</v>
      </c>
    </row>
    <row r="974" spans="1:26" ht="18" hidden="1" customHeight="1" x14ac:dyDescent="0.2">
      <c r="A974" s="47">
        <f t="shared" si="496"/>
        <v>43825</v>
      </c>
      <c r="B974" s="47" t="s">
        <v>99</v>
      </c>
      <c r="C974" s="48">
        <f t="shared" ref="C974" si="583">(V975-V974)*1+(W975-W974)*32+(X975-X974)*12+(Y975-Y974)*6</f>
        <v>1699</v>
      </c>
      <c r="D974" s="99">
        <f t="shared" si="454"/>
        <v>2016</v>
      </c>
      <c r="E974" s="45">
        <f t="shared" si="455"/>
        <v>1272.9999999999563</v>
      </c>
      <c r="F974" s="45">
        <f t="shared" ref="F974" si="584">(Z975-Z974)*1</f>
        <v>66</v>
      </c>
      <c r="G974" s="79">
        <f t="shared" ref="G974" si="585">C974+D974+F974+E974</f>
        <v>5053.9999999999563</v>
      </c>
      <c r="H974" s="199">
        <v>3960</v>
      </c>
      <c r="I974" s="199">
        <v>1063</v>
      </c>
      <c r="J974" s="200">
        <f t="shared" si="527"/>
        <v>5023</v>
      </c>
      <c r="K974" s="201">
        <f t="shared" si="528"/>
        <v>-30.999999999956344</v>
      </c>
      <c r="L974" s="43"/>
      <c r="N974" s="112">
        <v>183397</v>
      </c>
      <c r="O974" s="112">
        <v>96725</v>
      </c>
      <c r="P974" s="112">
        <v>8645</v>
      </c>
      <c r="Q974" s="112"/>
      <c r="R974" s="112">
        <v>36220</v>
      </c>
      <c r="S974" s="113">
        <v>8194.7000000000007</v>
      </c>
      <c r="T974" s="113"/>
      <c r="U974" s="113"/>
      <c r="V974" s="112">
        <v>245162</v>
      </c>
      <c r="W974" s="112">
        <v>118496</v>
      </c>
      <c r="X974" s="112">
        <v>94899</v>
      </c>
      <c r="Y974" s="112">
        <v>92778</v>
      </c>
      <c r="Z974" s="112">
        <v>176644</v>
      </c>
    </row>
    <row r="975" spans="1:26" ht="18" hidden="1" customHeight="1" x14ac:dyDescent="0.2">
      <c r="A975" s="47">
        <f t="shared" si="496"/>
        <v>43826</v>
      </c>
      <c r="B975" s="47" t="s">
        <v>100</v>
      </c>
      <c r="C975" s="48">
        <f t="shared" ref="C975:C977" si="586">(V976-V975)*1+(W976-W975)*32+(X976-X975)*12+(Y976-Y975)*6</f>
        <v>0</v>
      </c>
      <c r="D975" s="99">
        <f t="shared" si="454"/>
        <v>0</v>
      </c>
      <c r="E975" s="45">
        <f t="shared" si="455"/>
        <v>0</v>
      </c>
      <c r="F975" s="45">
        <f t="shared" ref="F975:F977" si="587">(Z976-Z975)*1</f>
        <v>0</v>
      </c>
      <c r="G975" s="79">
        <f t="shared" ref="G975:G977" si="588">C975+D975+F975+E975</f>
        <v>0</v>
      </c>
      <c r="H975" s="199">
        <v>3690</v>
      </c>
      <c r="I975" s="199">
        <v>1023</v>
      </c>
      <c r="J975" s="200">
        <f t="shared" si="527"/>
        <v>4713</v>
      </c>
      <c r="K975" s="201">
        <f t="shared" si="528"/>
        <v>4713</v>
      </c>
      <c r="L975" s="43"/>
      <c r="N975" s="112">
        <v>183637</v>
      </c>
      <c r="O975" s="112">
        <v>96815</v>
      </c>
      <c r="P975" s="112">
        <v>8657</v>
      </c>
      <c r="Q975" s="112"/>
      <c r="R975" s="112">
        <v>36245</v>
      </c>
      <c r="S975" s="113">
        <v>8205.1</v>
      </c>
      <c r="T975" s="113"/>
      <c r="U975" s="113"/>
      <c r="V975" s="112">
        <v>245329</v>
      </c>
      <c r="W975" s="112">
        <v>118527</v>
      </c>
      <c r="X975" s="112">
        <v>94944</v>
      </c>
      <c r="Y975" s="112">
        <v>92778</v>
      </c>
      <c r="Z975" s="112">
        <v>176710</v>
      </c>
    </row>
    <row r="976" spans="1:26" ht="18" hidden="1" customHeight="1" x14ac:dyDescent="0.2">
      <c r="A976" s="47">
        <f t="shared" si="496"/>
        <v>43827</v>
      </c>
      <c r="B976" s="56" t="s">
        <v>103</v>
      </c>
      <c r="C976" s="48">
        <f t="shared" si="586"/>
        <v>0</v>
      </c>
      <c r="D976" s="99">
        <f t="shared" si="454"/>
        <v>0</v>
      </c>
      <c r="E976" s="45">
        <f t="shared" si="455"/>
        <v>0</v>
      </c>
      <c r="F976" s="45">
        <f t="shared" si="587"/>
        <v>0</v>
      </c>
      <c r="G976" s="79">
        <f t="shared" si="588"/>
        <v>0</v>
      </c>
      <c r="H976" s="199">
        <v>0</v>
      </c>
      <c r="I976" s="199">
        <f>2695+826</f>
        <v>3521</v>
      </c>
      <c r="J976" s="200">
        <f t="shared" si="527"/>
        <v>3521</v>
      </c>
      <c r="K976" s="201">
        <f t="shared" si="528"/>
        <v>3521</v>
      </c>
      <c r="L976" s="43"/>
      <c r="N976" s="153">
        <v>183637</v>
      </c>
      <c r="O976" s="153">
        <v>96815</v>
      </c>
      <c r="P976" s="153">
        <v>8657</v>
      </c>
      <c r="Q976" s="153"/>
      <c r="R976" s="153">
        <v>36245</v>
      </c>
      <c r="S976" s="154">
        <v>8205.1</v>
      </c>
      <c r="T976" s="154"/>
      <c r="U976" s="154"/>
      <c r="V976" s="153">
        <v>245329</v>
      </c>
      <c r="W976" s="153">
        <v>118527</v>
      </c>
      <c r="X976" s="153">
        <v>94944</v>
      </c>
      <c r="Y976" s="153">
        <v>92778</v>
      </c>
      <c r="Z976" s="153">
        <v>176710</v>
      </c>
    </row>
    <row r="977" spans="1:26" ht="18" hidden="1" customHeight="1" x14ac:dyDescent="0.2">
      <c r="A977" s="47">
        <f t="shared" si="496"/>
        <v>43828</v>
      </c>
      <c r="B977" s="56" t="s">
        <v>104</v>
      </c>
      <c r="C977" s="48">
        <f t="shared" si="586"/>
        <v>2067</v>
      </c>
      <c r="D977" s="99">
        <f t="shared" si="454"/>
        <v>5160</v>
      </c>
      <c r="E977" s="45">
        <f t="shared" si="455"/>
        <v>4216.9999999999563</v>
      </c>
      <c r="F977" s="45">
        <f t="shared" si="587"/>
        <v>218</v>
      </c>
      <c r="G977" s="79">
        <f t="shared" si="588"/>
        <v>11661.999999999956</v>
      </c>
      <c r="H977" s="199">
        <v>0</v>
      </c>
      <c r="I977" s="199">
        <v>4020</v>
      </c>
      <c r="J977" s="200">
        <f t="shared" si="527"/>
        <v>4020</v>
      </c>
      <c r="K977" s="201">
        <f t="shared" si="528"/>
        <v>-7641.9999999999563</v>
      </c>
      <c r="L977" s="43"/>
      <c r="N977" s="153">
        <v>183637</v>
      </c>
      <c r="O977" s="153">
        <v>96815</v>
      </c>
      <c r="P977" s="153">
        <v>8657</v>
      </c>
      <c r="Q977" s="153"/>
      <c r="R977" s="153">
        <v>36245</v>
      </c>
      <c r="S977" s="154">
        <v>8205.1</v>
      </c>
      <c r="T977" s="154"/>
      <c r="U977" s="154"/>
      <c r="V977" s="153">
        <v>245329</v>
      </c>
      <c r="W977" s="153">
        <v>118527</v>
      </c>
      <c r="X977" s="153">
        <v>94944</v>
      </c>
      <c r="Y977" s="153">
        <v>92778</v>
      </c>
      <c r="Z977" s="153">
        <v>176710</v>
      </c>
    </row>
    <row r="978" spans="1:26" ht="18" hidden="1" customHeight="1" x14ac:dyDescent="0.2">
      <c r="A978" s="47">
        <f t="shared" si="496"/>
        <v>43829</v>
      </c>
      <c r="B978" s="47" t="s">
        <v>96</v>
      </c>
      <c r="C978" s="48">
        <f t="shared" ref="C978" si="589">(V979-V978)*1+(W979-W978)*32+(X979-X978)*12+(Y979-Y978)*6</f>
        <v>2250</v>
      </c>
      <c r="D978" s="99">
        <f t="shared" si="454"/>
        <v>1864</v>
      </c>
      <c r="E978" s="45">
        <f t="shared" si="455"/>
        <v>1602.0000000000437</v>
      </c>
      <c r="F978" s="45">
        <f t="shared" ref="F978" si="590">(Z979-Z978)*1</f>
        <v>70</v>
      </c>
      <c r="G978" s="79">
        <f t="shared" ref="G978" si="591">C978+D978+F978+E978</f>
        <v>5786.0000000000437</v>
      </c>
      <c r="H978" s="199">
        <v>4609</v>
      </c>
      <c r="I978" s="199">
        <v>1019</v>
      </c>
      <c r="J978" s="200">
        <f t="shared" si="527"/>
        <v>5628</v>
      </c>
      <c r="K978" s="201">
        <f t="shared" si="528"/>
        <v>-158.00000000004366</v>
      </c>
      <c r="L978" s="43"/>
      <c r="N978" s="112">
        <v>184257</v>
      </c>
      <c r="O978" s="112">
        <v>97052</v>
      </c>
      <c r="P978" s="112">
        <v>8682</v>
      </c>
      <c r="Q978" s="112"/>
      <c r="R978" s="112">
        <v>36334</v>
      </c>
      <c r="S978" s="113">
        <v>8239.5</v>
      </c>
      <c r="T978" s="113"/>
      <c r="U978" s="113"/>
      <c r="V978" s="112">
        <v>245720</v>
      </c>
      <c r="W978" s="112">
        <v>118564</v>
      </c>
      <c r="X978" s="112">
        <v>94985</v>
      </c>
      <c r="Y978" s="112">
        <v>92778</v>
      </c>
      <c r="Z978" s="112">
        <v>176928</v>
      </c>
    </row>
    <row r="979" spans="1:26" ht="18" hidden="1" customHeight="1" x14ac:dyDescent="0.2">
      <c r="A979" s="47">
        <f t="shared" si="496"/>
        <v>43830</v>
      </c>
      <c r="B979" s="47" t="s">
        <v>97</v>
      </c>
      <c r="C979" s="48">
        <f t="shared" ref="C979:C980" si="592">(V980-V979)*1+(W980-W979)*32+(X980-X979)*12+(Y980-Y979)*6</f>
        <v>0</v>
      </c>
      <c r="D979" s="99">
        <f t="shared" si="454"/>
        <v>0</v>
      </c>
      <c r="E979" s="45">
        <f t="shared" si="455"/>
        <v>0</v>
      </c>
      <c r="F979" s="45">
        <f t="shared" ref="F979:F980" si="593">(Z980-Z979)*1</f>
        <v>0</v>
      </c>
      <c r="G979" s="79">
        <f t="shared" ref="G979:G980" si="594">C979+D979+F979+E979</f>
        <v>0</v>
      </c>
      <c r="H979" s="199">
        <v>4186</v>
      </c>
      <c r="I979" s="199">
        <v>1022</v>
      </c>
      <c r="J979" s="200">
        <f t="shared" si="527"/>
        <v>5208</v>
      </c>
      <c r="K979" s="201">
        <f t="shared" si="528"/>
        <v>5208</v>
      </c>
      <c r="L979" s="43"/>
      <c r="N979" s="112">
        <v>184477</v>
      </c>
      <c r="O979" s="112">
        <v>97140</v>
      </c>
      <c r="P979" s="112">
        <v>8695</v>
      </c>
      <c r="Q979" s="112"/>
      <c r="R979" s="112">
        <v>36364</v>
      </c>
      <c r="S979" s="113">
        <v>8252.6</v>
      </c>
      <c r="T979" s="113"/>
      <c r="U979" s="113"/>
      <c r="V979" s="112">
        <v>245858</v>
      </c>
      <c r="W979" s="112">
        <v>118594</v>
      </c>
      <c r="X979" s="112">
        <v>95081</v>
      </c>
      <c r="Y979" s="112">
        <v>92778</v>
      </c>
      <c r="Z979" s="112">
        <v>176998</v>
      </c>
    </row>
    <row r="980" spans="1:26" ht="18" hidden="1" customHeight="1" thickTop="1" x14ac:dyDescent="0.2">
      <c r="A980" s="56">
        <f t="shared" si="496"/>
        <v>43831</v>
      </c>
      <c r="B980" s="56" t="str">
        <f>B973</f>
        <v>三</v>
      </c>
      <c r="C980" s="48">
        <f t="shared" si="592"/>
        <v>1897</v>
      </c>
      <c r="D980" s="99">
        <f t="shared" si="454"/>
        <v>3336</v>
      </c>
      <c r="E980" s="45">
        <f t="shared" si="455"/>
        <v>2913.9999999999127</v>
      </c>
      <c r="F980" s="45">
        <f t="shared" si="593"/>
        <v>146</v>
      </c>
      <c r="G980" s="79">
        <f t="shared" si="594"/>
        <v>8292.9999999999127</v>
      </c>
      <c r="H980" s="199">
        <v>0</v>
      </c>
      <c r="I980" s="199">
        <v>3558</v>
      </c>
      <c r="J980" s="200">
        <f t="shared" ref="J980:J1010" si="595">H980+I980</f>
        <v>3558</v>
      </c>
      <c r="K980" s="201">
        <f t="shared" ref="K980:K1010" si="596">J980-G980</f>
        <v>-4734.9999999999127</v>
      </c>
      <c r="L980" s="43"/>
      <c r="N980" s="153">
        <v>184477</v>
      </c>
      <c r="O980" s="153">
        <v>97140</v>
      </c>
      <c r="P980" s="153">
        <v>8695</v>
      </c>
      <c r="Q980" s="153"/>
      <c r="R980" s="153">
        <v>36364</v>
      </c>
      <c r="S980" s="154">
        <v>8252.6</v>
      </c>
      <c r="T980" s="154"/>
      <c r="U980" s="154"/>
      <c r="V980" s="153">
        <v>245858</v>
      </c>
      <c r="W980" s="153">
        <v>118594</v>
      </c>
      <c r="X980" s="153">
        <v>95081</v>
      </c>
      <c r="Y980" s="153">
        <v>92778</v>
      </c>
      <c r="Z980" s="153">
        <v>176998</v>
      </c>
    </row>
    <row r="981" spans="1:26" ht="18" hidden="1" customHeight="1" x14ac:dyDescent="0.2">
      <c r="A981" s="47">
        <f t="shared" si="496"/>
        <v>43832</v>
      </c>
      <c r="B981" s="47" t="str">
        <f>B974</f>
        <v>四</v>
      </c>
      <c r="C981" s="48">
        <f t="shared" ref="C981" si="597">(V982-V981)*1+(W982-W981)*32+(X982-X981)*12+(Y982-Y981)*6</f>
        <v>1583</v>
      </c>
      <c r="D981" s="99">
        <f t="shared" ref="D981:D1044" si="598">(N982-N981)*8+(P982-P981)*8</f>
        <v>1920</v>
      </c>
      <c r="E981" s="45">
        <f t="shared" ref="E981:E1044" si="599">(R982-R981)*1+(S982-S981)*120</f>
        <v>1470</v>
      </c>
      <c r="F981" s="45">
        <f t="shared" ref="F981" si="600">(Z982-Z981)*1</f>
        <v>77</v>
      </c>
      <c r="G981" s="79">
        <f t="shared" ref="G981" si="601">C981+D981+F981+E981</f>
        <v>5050</v>
      </c>
      <c r="H981" s="199">
        <v>4223</v>
      </c>
      <c r="I981" s="199">
        <v>1029</v>
      </c>
      <c r="J981" s="200">
        <f t="shared" si="595"/>
        <v>5252</v>
      </c>
      <c r="K981" s="201">
        <f t="shared" si="596"/>
        <v>202</v>
      </c>
      <c r="L981" s="43"/>
      <c r="N981" s="235">
        <v>184877</v>
      </c>
      <c r="O981" s="235">
        <v>97281</v>
      </c>
      <c r="P981" s="235">
        <v>8712</v>
      </c>
      <c r="Q981" s="235"/>
      <c r="R981" s="235">
        <v>36422</v>
      </c>
      <c r="S981" s="236">
        <v>8276.4</v>
      </c>
      <c r="T981" s="236"/>
      <c r="U981" s="236"/>
      <c r="V981" s="235">
        <v>246175</v>
      </c>
      <c r="W981" s="235">
        <v>118628</v>
      </c>
      <c r="X981" s="235">
        <v>95122</v>
      </c>
      <c r="Y981" s="235">
        <v>92778</v>
      </c>
      <c r="Z981" s="235">
        <v>177144</v>
      </c>
    </row>
    <row r="982" spans="1:26" ht="18" hidden="1" customHeight="1" x14ac:dyDescent="0.2">
      <c r="A982" s="47">
        <f t="shared" si="496"/>
        <v>43833</v>
      </c>
      <c r="B982" s="47" t="str">
        <f t="shared" ref="B982:B1045" si="602">B975</f>
        <v>五</v>
      </c>
      <c r="C982" s="48">
        <f t="shared" ref="C982:C984" si="603">(V983-V982)*1+(W983-W982)*32+(X983-X982)*12+(Y983-Y982)*6</f>
        <v>0</v>
      </c>
      <c r="D982" s="99">
        <f t="shared" si="598"/>
        <v>0</v>
      </c>
      <c r="E982" s="45">
        <f t="shared" si="599"/>
        <v>0</v>
      </c>
      <c r="F982" s="45">
        <f t="shared" ref="F982:F984" si="604">(Z983-Z982)*1</f>
        <v>0</v>
      </c>
      <c r="G982" s="79">
        <f t="shared" ref="G982:G984" si="605">C982+D982+F982+E982</f>
        <v>0</v>
      </c>
      <c r="H982" s="199">
        <v>3556</v>
      </c>
      <c r="I982" s="199">
        <v>984</v>
      </c>
      <c r="J982" s="200">
        <f t="shared" si="595"/>
        <v>4540</v>
      </c>
      <c r="K982" s="201">
        <f t="shared" si="596"/>
        <v>4540</v>
      </c>
      <c r="L982" s="43"/>
      <c r="N982" s="235">
        <v>185107</v>
      </c>
      <c r="O982" s="235">
        <v>97380</v>
      </c>
      <c r="P982" s="235">
        <v>8722</v>
      </c>
      <c r="Q982" s="235"/>
      <c r="R982" s="235">
        <v>36452</v>
      </c>
      <c r="S982" s="236">
        <v>8288.4</v>
      </c>
      <c r="T982" s="236"/>
      <c r="U982" s="236"/>
      <c r="V982" s="235">
        <v>246334</v>
      </c>
      <c r="W982" s="235">
        <v>118653</v>
      </c>
      <c r="X982" s="235">
        <v>95174</v>
      </c>
      <c r="Y982" s="235">
        <v>92778</v>
      </c>
      <c r="Z982" s="235">
        <v>177221</v>
      </c>
    </row>
    <row r="983" spans="1:26" ht="18" hidden="1" customHeight="1" x14ac:dyDescent="0.2">
      <c r="A983" s="47">
        <f t="shared" si="496"/>
        <v>43834</v>
      </c>
      <c r="B983" s="47" t="str">
        <f t="shared" si="602"/>
        <v>六</v>
      </c>
      <c r="C983" s="48">
        <f t="shared" si="603"/>
        <v>0</v>
      </c>
      <c r="D983" s="99">
        <f t="shared" si="598"/>
        <v>0</v>
      </c>
      <c r="E983" s="45">
        <f t="shared" si="599"/>
        <v>0</v>
      </c>
      <c r="F983" s="45">
        <f t="shared" si="604"/>
        <v>0</v>
      </c>
      <c r="G983" s="79">
        <f t="shared" si="605"/>
        <v>0</v>
      </c>
      <c r="H983" s="199">
        <v>0</v>
      </c>
      <c r="I983" s="199">
        <f>2376+746</f>
        <v>3122</v>
      </c>
      <c r="J983" s="200">
        <f t="shared" si="595"/>
        <v>3122</v>
      </c>
      <c r="K983" s="201">
        <f t="shared" si="596"/>
        <v>3122</v>
      </c>
      <c r="L983" s="43"/>
      <c r="N983" s="153">
        <v>185107</v>
      </c>
      <c r="O983" s="153">
        <v>97380</v>
      </c>
      <c r="P983" s="153">
        <v>8722</v>
      </c>
      <c r="Q983" s="153"/>
      <c r="R983" s="153">
        <v>36452</v>
      </c>
      <c r="S983" s="154">
        <v>8288.4</v>
      </c>
      <c r="T983" s="154"/>
      <c r="U983" s="154"/>
      <c r="V983" s="153">
        <v>246334</v>
      </c>
      <c r="W983" s="153">
        <v>118653</v>
      </c>
      <c r="X983" s="153">
        <v>95174</v>
      </c>
      <c r="Y983" s="153">
        <v>92778</v>
      </c>
      <c r="Z983" s="153">
        <v>177221</v>
      </c>
    </row>
    <row r="984" spans="1:26" ht="18" hidden="1" customHeight="1" x14ac:dyDescent="0.2">
      <c r="A984" s="47">
        <f t="shared" si="496"/>
        <v>43835</v>
      </c>
      <c r="B984" s="47" t="str">
        <f t="shared" si="602"/>
        <v>日</v>
      </c>
      <c r="C984" s="48">
        <f t="shared" si="603"/>
        <v>2143</v>
      </c>
      <c r="D984" s="99">
        <f t="shared" si="598"/>
        <v>4416</v>
      </c>
      <c r="E984" s="45">
        <f t="shared" si="599"/>
        <v>3900.000000000131</v>
      </c>
      <c r="F984" s="45">
        <f t="shared" si="604"/>
        <v>173</v>
      </c>
      <c r="G984" s="79">
        <f t="shared" si="605"/>
        <v>10632.000000000131</v>
      </c>
      <c r="H984" s="199">
        <v>0</v>
      </c>
      <c r="I984" s="199">
        <v>3299</v>
      </c>
      <c r="J984" s="200">
        <f t="shared" si="595"/>
        <v>3299</v>
      </c>
      <c r="K984" s="201">
        <f t="shared" si="596"/>
        <v>-7333.000000000131</v>
      </c>
      <c r="L984" s="43"/>
      <c r="N984" s="153">
        <v>185107</v>
      </c>
      <c r="O984" s="153">
        <v>97380</v>
      </c>
      <c r="P984" s="153">
        <v>8722</v>
      </c>
      <c r="Q984" s="153"/>
      <c r="R984" s="153">
        <v>36452</v>
      </c>
      <c r="S984" s="154">
        <v>8288.4</v>
      </c>
      <c r="T984" s="154"/>
      <c r="U984" s="154"/>
      <c r="V984" s="153">
        <v>246334</v>
      </c>
      <c r="W984" s="153">
        <v>118653</v>
      </c>
      <c r="X984" s="153">
        <v>95174</v>
      </c>
      <c r="Y984" s="153">
        <v>92778</v>
      </c>
      <c r="Z984" s="153">
        <v>177221</v>
      </c>
    </row>
    <row r="985" spans="1:26" ht="18" hidden="1" customHeight="1" x14ac:dyDescent="0.2">
      <c r="A985" s="47">
        <f t="shared" si="496"/>
        <v>43836</v>
      </c>
      <c r="B985" s="47" t="str">
        <f t="shared" si="602"/>
        <v>一</v>
      </c>
      <c r="C985" s="48">
        <f t="shared" ref="C985" si="606">(V986-V985)*1+(W986-W985)*32+(X986-X985)*12+(Y986-Y985)*6</f>
        <v>1499</v>
      </c>
      <c r="D985" s="99">
        <f t="shared" si="598"/>
        <v>1944</v>
      </c>
      <c r="E985" s="45">
        <f t="shared" si="599"/>
        <v>1251.999999999869</v>
      </c>
      <c r="F985" s="45">
        <f t="shared" ref="F985" si="607">(Z986-Z985)*1</f>
        <v>49</v>
      </c>
      <c r="G985" s="79">
        <f t="shared" ref="G985" si="608">C985+D985+F985+E985</f>
        <v>4743.999999999869</v>
      </c>
      <c r="H985" s="199">
        <v>3788</v>
      </c>
      <c r="I985" s="199">
        <v>988</v>
      </c>
      <c r="J985" s="200">
        <f t="shared" si="595"/>
        <v>4776</v>
      </c>
      <c r="K985" s="201">
        <f t="shared" si="596"/>
        <v>32.000000000130967</v>
      </c>
      <c r="L985" s="43"/>
      <c r="N985" s="235">
        <v>185637</v>
      </c>
      <c r="O985" s="235">
        <v>97580</v>
      </c>
      <c r="P985" s="235">
        <v>8744</v>
      </c>
      <c r="Q985" s="235"/>
      <c r="R985" s="235">
        <v>36536</v>
      </c>
      <c r="S985" s="236">
        <v>8320.2000000000007</v>
      </c>
      <c r="T985" s="236"/>
      <c r="U985" s="236"/>
      <c r="V985" s="235">
        <v>246761</v>
      </c>
      <c r="W985" s="235">
        <v>118695</v>
      </c>
      <c r="X985" s="235">
        <v>95205</v>
      </c>
      <c r="Y985" s="235">
        <v>92778</v>
      </c>
      <c r="Z985" s="235">
        <v>177394</v>
      </c>
    </row>
    <row r="986" spans="1:26" ht="18" hidden="1" customHeight="1" x14ac:dyDescent="0.2">
      <c r="A986" s="47">
        <f t="shared" si="496"/>
        <v>43837</v>
      </c>
      <c r="B986" s="47" t="str">
        <f t="shared" si="602"/>
        <v>二</v>
      </c>
      <c r="C986" s="48">
        <f t="shared" ref="C986" si="609">(V987-V986)*1+(W987-W986)*32+(X987-X986)*12+(Y987-Y986)*6</f>
        <v>1445</v>
      </c>
      <c r="D986" s="99">
        <f t="shared" si="598"/>
        <v>2728</v>
      </c>
      <c r="E986" s="45">
        <f t="shared" si="599"/>
        <v>1146.000000000131</v>
      </c>
      <c r="F986" s="45">
        <f t="shared" ref="F986" si="610">(Z987-Z986)*1</f>
        <v>79</v>
      </c>
      <c r="G986" s="79">
        <f t="shared" ref="G986" si="611">C986+D986+F986+E986</f>
        <v>5398.000000000131</v>
      </c>
      <c r="H986" s="199">
        <v>3713</v>
      </c>
      <c r="I986" s="199">
        <v>1049</v>
      </c>
      <c r="J986" s="200">
        <f t="shared" si="595"/>
        <v>4762</v>
      </c>
      <c r="K986" s="201">
        <f t="shared" si="596"/>
        <v>-636.00000000013097</v>
      </c>
      <c r="L986" s="43"/>
      <c r="N986" s="235">
        <v>185867</v>
      </c>
      <c r="O986" s="235">
        <v>97671</v>
      </c>
      <c r="P986" s="235">
        <v>8757</v>
      </c>
      <c r="Q986" s="235"/>
      <c r="R986" s="235">
        <v>36564</v>
      </c>
      <c r="S986" s="236">
        <v>8330.4</v>
      </c>
      <c r="T986" s="236"/>
      <c r="U986" s="236"/>
      <c r="V986" s="235">
        <v>246924</v>
      </c>
      <c r="W986" s="235">
        <v>118718</v>
      </c>
      <c r="X986" s="235">
        <v>95255</v>
      </c>
      <c r="Y986" s="235">
        <v>92778</v>
      </c>
      <c r="Z986" s="235">
        <v>177443</v>
      </c>
    </row>
    <row r="987" spans="1:26" ht="18" hidden="1" customHeight="1" x14ac:dyDescent="0.2">
      <c r="A987" s="47">
        <f t="shared" si="496"/>
        <v>43838</v>
      </c>
      <c r="B987" s="47" t="str">
        <f t="shared" si="602"/>
        <v>三</v>
      </c>
      <c r="C987" s="48">
        <f t="shared" ref="C987" si="612">(V988-V987)*1+(W988-W987)*32+(X988-X987)*12+(Y988-Y987)*6</f>
        <v>1743</v>
      </c>
      <c r="D987" s="99">
        <f t="shared" si="598"/>
        <v>1216</v>
      </c>
      <c r="E987" s="45">
        <f t="shared" si="599"/>
        <v>1021.9999999999127</v>
      </c>
      <c r="F987" s="45">
        <f t="shared" ref="F987" si="613">(Z988-Z987)*1</f>
        <v>104</v>
      </c>
      <c r="G987" s="79">
        <f t="shared" ref="G987" si="614">C987+D987+F987+E987</f>
        <v>4084.9999999999127</v>
      </c>
      <c r="H987" s="199">
        <v>3778</v>
      </c>
      <c r="I987" s="199">
        <v>1028</v>
      </c>
      <c r="J987" s="200">
        <f t="shared" si="595"/>
        <v>4806</v>
      </c>
      <c r="K987" s="201">
        <f t="shared" si="596"/>
        <v>721.00000000008731</v>
      </c>
      <c r="L987" s="43"/>
      <c r="N987" s="235">
        <v>186197</v>
      </c>
      <c r="O987" s="235">
        <v>97757</v>
      </c>
      <c r="P987" s="235">
        <v>8768</v>
      </c>
      <c r="Q987" s="235"/>
      <c r="R987" s="235">
        <v>36594</v>
      </c>
      <c r="S987" s="236">
        <v>8339.7000000000007</v>
      </c>
      <c r="T987" s="236"/>
      <c r="U987" s="236"/>
      <c r="V987" s="235">
        <v>247089</v>
      </c>
      <c r="W987" s="235">
        <v>118743</v>
      </c>
      <c r="X987" s="235">
        <v>95295</v>
      </c>
      <c r="Y987" s="235">
        <v>92778</v>
      </c>
      <c r="Z987" s="235">
        <v>177522</v>
      </c>
    </row>
    <row r="988" spans="1:26" ht="18" hidden="1" customHeight="1" x14ac:dyDescent="0.2">
      <c r="A988" s="47">
        <f t="shared" si="496"/>
        <v>43839</v>
      </c>
      <c r="B988" s="47" t="str">
        <f t="shared" si="602"/>
        <v>四</v>
      </c>
      <c r="C988" s="48">
        <f t="shared" ref="C988" si="615">(V989-V988)*1+(W989-W988)*32+(X989-X988)*12+(Y989-Y988)*6</f>
        <v>1605</v>
      </c>
      <c r="D988" s="99">
        <f t="shared" si="598"/>
        <v>2040</v>
      </c>
      <c r="E988" s="45">
        <f t="shared" si="599"/>
        <v>1130.0000000000873</v>
      </c>
      <c r="F988" s="45">
        <f t="shared" ref="F988" si="616">(Z989-Z988)*1</f>
        <v>24</v>
      </c>
      <c r="G988" s="79">
        <f t="shared" ref="G988" si="617">C988+D988+F988+E988</f>
        <v>4799.0000000000873</v>
      </c>
      <c r="H988" s="199">
        <v>3886</v>
      </c>
      <c r="I988" s="199">
        <v>1147</v>
      </c>
      <c r="J988" s="200">
        <f t="shared" si="595"/>
        <v>5033</v>
      </c>
      <c r="K988" s="201">
        <f t="shared" si="596"/>
        <v>233.99999999991269</v>
      </c>
      <c r="L988" s="43"/>
      <c r="N988" s="235">
        <v>186337</v>
      </c>
      <c r="O988" s="235">
        <v>97852</v>
      </c>
      <c r="P988" s="235">
        <v>8780</v>
      </c>
      <c r="Q988" s="235"/>
      <c r="R988" s="235">
        <v>36620</v>
      </c>
      <c r="S988" s="236">
        <v>8348</v>
      </c>
      <c r="T988" s="236"/>
      <c r="U988" s="236"/>
      <c r="V988" s="235">
        <v>247256</v>
      </c>
      <c r="W988" s="235">
        <v>118769</v>
      </c>
      <c r="X988" s="235">
        <v>95357</v>
      </c>
      <c r="Y988" s="235">
        <v>92778</v>
      </c>
      <c r="Z988" s="235">
        <v>177626</v>
      </c>
    </row>
    <row r="989" spans="1:26" ht="18" hidden="1" customHeight="1" x14ac:dyDescent="0.2">
      <c r="A989" s="47">
        <f t="shared" si="496"/>
        <v>43840</v>
      </c>
      <c r="B989" s="47" t="str">
        <f t="shared" si="602"/>
        <v>五</v>
      </c>
      <c r="C989" s="48">
        <f t="shared" ref="C989:C991" si="618">(V990-V989)*1+(W990-W989)*32+(X990-X989)*12+(Y990-Y989)*6</f>
        <v>0</v>
      </c>
      <c r="D989" s="99">
        <f t="shared" si="598"/>
        <v>0</v>
      </c>
      <c r="E989" s="45">
        <f t="shared" si="599"/>
        <v>0</v>
      </c>
      <c r="F989" s="45">
        <f t="shared" ref="F989:F991" si="619">(Z990-Z989)*1</f>
        <v>0</v>
      </c>
      <c r="G989" s="79">
        <f t="shared" ref="G989:G991" si="620">C989+D989+F989+E989</f>
        <v>0</v>
      </c>
      <c r="H989" s="199">
        <v>3980</v>
      </c>
      <c r="I989" s="199">
        <v>1028</v>
      </c>
      <c r="J989" s="200">
        <f t="shared" si="595"/>
        <v>5008</v>
      </c>
      <c r="K989" s="201">
        <f t="shared" si="596"/>
        <v>5008</v>
      </c>
      <c r="L989" s="43"/>
      <c r="N989" s="235">
        <v>186577</v>
      </c>
      <c r="O989" s="235">
        <v>97941</v>
      </c>
      <c r="P989" s="235">
        <v>8795</v>
      </c>
      <c r="Q989" s="235"/>
      <c r="R989" s="235">
        <v>36646</v>
      </c>
      <c r="S989" s="236">
        <v>8357.2000000000007</v>
      </c>
      <c r="T989" s="236"/>
      <c r="U989" s="236"/>
      <c r="V989" s="235">
        <v>247413</v>
      </c>
      <c r="W989" s="235">
        <v>118794</v>
      </c>
      <c r="X989" s="235">
        <v>95411</v>
      </c>
      <c r="Y989" s="235">
        <v>92778</v>
      </c>
      <c r="Z989" s="235">
        <v>177650</v>
      </c>
    </row>
    <row r="990" spans="1:26" ht="18" hidden="1" customHeight="1" x14ac:dyDescent="0.2">
      <c r="A990" s="47">
        <f t="shared" si="496"/>
        <v>43841</v>
      </c>
      <c r="B990" s="47" t="str">
        <f t="shared" si="602"/>
        <v>六</v>
      </c>
      <c r="C990" s="48">
        <f t="shared" si="618"/>
        <v>0</v>
      </c>
      <c r="D990" s="99">
        <f t="shared" si="598"/>
        <v>0</v>
      </c>
      <c r="E990" s="45">
        <f t="shared" si="599"/>
        <v>0</v>
      </c>
      <c r="F990" s="45">
        <f t="shared" si="619"/>
        <v>0</v>
      </c>
      <c r="G990" s="79">
        <f t="shared" si="620"/>
        <v>0</v>
      </c>
      <c r="H990" s="199">
        <v>0</v>
      </c>
      <c r="I990" s="199">
        <f>2398+851</f>
        <v>3249</v>
      </c>
      <c r="J990" s="200">
        <f t="shared" si="595"/>
        <v>3249</v>
      </c>
      <c r="K990" s="201">
        <f t="shared" si="596"/>
        <v>3249</v>
      </c>
      <c r="L990" s="43"/>
      <c r="N990" s="153">
        <v>186577</v>
      </c>
      <c r="O990" s="153">
        <v>97941</v>
      </c>
      <c r="P990" s="153">
        <v>8795</v>
      </c>
      <c r="Q990" s="153"/>
      <c r="R990" s="153">
        <v>36646</v>
      </c>
      <c r="S990" s="154">
        <v>8357.2000000000007</v>
      </c>
      <c r="T990" s="154"/>
      <c r="U990" s="154"/>
      <c r="V990" s="153">
        <v>247413</v>
      </c>
      <c r="W990" s="153">
        <v>118794</v>
      </c>
      <c r="X990" s="153">
        <v>95411</v>
      </c>
      <c r="Y990" s="153">
        <v>92778</v>
      </c>
      <c r="Z990" s="153">
        <v>177650</v>
      </c>
    </row>
    <row r="991" spans="1:26" ht="18" hidden="1" customHeight="1" x14ac:dyDescent="0.2">
      <c r="A991" s="47">
        <f t="shared" si="496"/>
        <v>43842</v>
      </c>
      <c r="B991" s="47" t="str">
        <f t="shared" si="602"/>
        <v>日</v>
      </c>
      <c r="C991" s="48">
        <f t="shared" si="618"/>
        <v>3191</v>
      </c>
      <c r="D991" s="99">
        <f t="shared" si="598"/>
        <v>4504</v>
      </c>
      <c r="E991" s="45">
        <f t="shared" si="599"/>
        <v>3306.9999999999563</v>
      </c>
      <c r="F991" s="45">
        <f t="shared" si="619"/>
        <v>214</v>
      </c>
      <c r="G991" s="79">
        <f t="shared" si="620"/>
        <v>11215.999999999956</v>
      </c>
      <c r="H991" s="199">
        <v>0</v>
      </c>
      <c r="I991" s="199">
        <v>3342</v>
      </c>
      <c r="J991" s="200">
        <f t="shared" si="595"/>
        <v>3342</v>
      </c>
      <c r="K991" s="201">
        <f t="shared" si="596"/>
        <v>-7873.9999999999563</v>
      </c>
      <c r="L991" s="43"/>
      <c r="N991" s="153">
        <v>186577</v>
      </c>
      <c r="O991" s="153">
        <v>97941</v>
      </c>
      <c r="P991" s="153">
        <v>8795</v>
      </c>
      <c r="Q991" s="153"/>
      <c r="R991" s="153">
        <v>36646</v>
      </c>
      <c r="S991" s="154">
        <v>8357.2000000000007</v>
      </c>
      <c r="T991" s="154"/>
      <c r="U991" s="154"/>
      <c r="V991" s="153">
        <v>247413</v>
      </c>
      <c r="W991" s="153">
        <v>118794</v>
      </c>
      <c r="X991" s="153">
        <v>95411</v>
      </c>
      <c r="Y991" s="153">
        <v>92778</v>
      </c>
      <c r="Z991" s="153">
        <v>177650</v>
      </c>
    </row>
    <row r="992" spans="1:26" ht="18" hidden="1" customHeight="1" x14ac:dyDescent="0.2">
      <c r="A992" s="47">
        <f t="shared" si="496"/>
        <v>43843</v>
      </c>
      <c r="B992" s="47" t="str">
        <f t="shared" si="602"/>
        <v>一</v>
      </c>
      <c r="C992" s="48">
        <f t="shared" ref="C992" si="621">(V993-V992)*1+(W993-W992)*32+(X993-X992)*12+(Y993-Y992)*6</f>
        <v>2006</v>
      </c>
      <c r="D992" s="99">
        <f t="shared" si="598"/>
        <v>1768</v>
      </c>
      <c r="E992" s="45">
        <f t="shared" si="599"/>
        <v>1282</v>
      </c>
      <c r="F992" s="45">
        <f t="shared" ref="F992" si="622">(Z993-Z992)*1</f>
        <v>52</v>
      </c>
      <c r="G992" s="79">
        <f t="shared" ref="G992" si="623">C992+D992+F992+E992</f>
        <v>5108</v>
      </c>
      <c r="H992" s="199">
        <v>4340</v>
      </c>
      <c r="I992" s="199">
        <v>991</v>
      </c>
      <c r="J992" s="200">
        <f t="shared" si="595"/>
        <v>5331</v>
      </c>
      <c r="K992" s="201">
        <f t="shared" si="596"/>
        <v>223</v>
      </c>
      <c r="L992" s="43"/>
      <c r="N992" s="235">
        <v>187117</v>
      </c>
      <c r="O992" s="235">
        <v>98145</v>
      </c>
      <c r="P992" s="235">
        <v>8818</v>
      </c>
      <c r="Q992" s="235"/>
      <c r="R992" s="235">
        <v>36725</v>
      </c>
      <c r="S992" s="236">
        <v>8384.1</v>
      </c>
      <c r="T992" s="236"/>
      <c r="U992" s="236"/>
      <c r="V992" s="235">
        <v>247828</v>
      </c>
      <c r="W992" s="235">
        <v>118856</v>
      </c>
      <c r="X992" s="235">
        <v>95477</v>
      </c>
      <c r="Y992" s="235">
        <v>92778</v>
      </c>
      <c r="Z992" s="235">
        <v>177864</v>
      </c>
    </row>
    <row r="993" spans="1:26" ht="18" hidden="1" customHeight="1" x14ac:dyDescent="0.2">
      <c r="A993" s="47">
        <f t="shared" si="496"/>
        <v>43844</v>
      </c>
      <c r="B993" s="47" t="str">
        <f t="shared" si="602"/>
        <v>二</v>
      </c>
      <c r="C993" s="48">
        <f t="shared" ref="C993" si="624">(V994-V993)*1+(W994-W993)*32+(X994-X993)*12+(Y994-Y993)*6</f>
        <v>2237</v>
      </c>
      <c r="D993" s="99">
        <f t="shared" si="598"/>
        <v>1520</v>
      </c>
      <c r="E993" s="45">
        <f t="shared" si="599"/>
        <v>1214.9999999999563</v>
      </c>
      <c r="F993" s="45">
        <f t="shared" ref="F993" si="625">(Z994-Z993)*1</f>
        <v>75</v>
      </c>
      <c r="G993" s="79">
        <f t="shared" ref="G993" si="626">C993+D993+F993+E993</f>
        <v>5046.9999999999563</v>
      </c>
      <c r="H993" s="199">
        <v>4154</v>
      </c>
      <c r="I993" s="199">
        <v>999</v>
      </c>
      <c r="J993" s="200">
        <f t="shared" si="595"/>
        <v>5153</v>
      </c>
      <c r="K993" s="201">
        <f t="shared" si="596"/>
        <v>106.00000000004366</v>
      </c>
      <c r="L993" s="43"/>
      <c r="N993" s="235">
        <v>187327</v>
      </c>
      <c r="O993" s="235">
        <v>98227</v>
      </c>
      <c r="P993" s="235">
        <v>8829</v>
      </c>
      <c r="Q993" s="235"/>
      <c r="R993" s="235">
        <v>36747</v>
      </c>
      <c r="S993" s="236">
        <v>8394.6</v>
      </c>
      <c r="T993" s="236"/>
      <c r="U993" s="236"/>
      <c r="V993" s="235">
        <v>247994</v>
      </c>
      <c r="W993" s="235">
        <v>118885</v>
      </c>
      <c r="X993" s="235">
        <v>95553</v>
      </c>
      <c r="Y993" s="235">
        <v>92778</v>
      </c>
      <c r="Z993" s="235">
        <v>177916</v>
      </c>
    </row>
    <row r="994" spans="1:26" ht="18" hidden="1" customHeight="1" x14ac:dyDescent="0.2">
      <c r="A994" s="47">
        <f t="shared" si="496"/>
        <v>43845</v>
      </c>
      <c r="B994" s="47" t="str">
        <f t="shared" si="602"/>
        <v>三</v>
      </c>
      <c r="C994" s="48">
        <f t="shared" ref="C994" si="627">(V995-V994)*1+(W995-W994)*32+(X995-X994)*12+(Y995-Y994)*6</f>
        <v>2029</v>
      </c>
      <c r="D994" s="99">
        <f t="shared" si="598"/>
        <v>1816</v>
      </c>
      <c r="E994" s="45">
        <f t="shared" si="599"/>
        <v>1107</v>
      </c>
      <c r="F994" s="45">
        <f t="shared" ref="F994" si="628">(Z995-Z994)*1</f>
        <v>77</v>
      </c>
      <c r="G994" s="79">
        <f t="shared" ref="G994" si="629">C994+D994+F994+E994</f>
        <v>5029</v>
      </c>
      <c r="H994" s="199">
        <v>4107</v>
      </c>
      <c r="I994" s="199">
        <v>993</v>
      </c>
      <c r="J994" s="200">
        <f t="shared" si="595"/>
        <v>5100</v>
      </c>
      <c r="K994" s="201">
        <f t="shared" si="596"/>
        <v>71</v>
      </c>
      <c r="L994" s="43"/>
      <c r="N994" s="235">
        <v>187507</v>
      </c>
      <c r="O994" s="235">
        <v>98308</v>
      </c>
      <c r="P994" s="235">
        <v>8839</v>
      </c>
      <c r="Q994" s="235"/>
      <c r="R994" s="235">
        <v>36774</v>
      </c>
      <c r="S994" s="236">
        <v>8404.5</v>
      </c>
      <c r="T994" s="236"/>
      <c r="U994" s="236"/>
      <c r="V994" s="235">
        <v>248167</v>
      </c>
      <c r="W994" s="235">
        <v>118918</v>
      </c>
      <c r="X994" s="235">
        <v>95637</v>
      </c>
      <c r="Y994" s="235">
        <v>92778</v>
      </c>
      <c r="Z994" s="235">
        <v>177991</v>
      </c>
    </row>
    <row r="995" spans="1:26" ht="18" hidden="1" customHeight="1" x14ac:dyDescent="0.2">
      <c r="A995" s="47">
        <f t="shared" si="496"/>
        <v>43846</v>
      </c>
      <c r="B995" s="47" t="str">
        <f t="shared" si="602"/>
        <v>四</v>
      </c>
      <c r="C995" s="48">
        <f t="shared" ref="C995" si="630">(V996-V995)*1+(W996-W995)*32+(X996-X995)*12+(Y996-Y995)*6</f>
        <v>1835</v>
      </c>
      <c r="D995" s="99">
        <f t="shared" si="598"/>
        <v>1800</v>
      </c>
      <c r="E995" s="45">
        <f t="shared" si="599"/>
        <v>1142.9999999999127</v>
      </c>
      <c r="F995" s="45">
        <f t="shared" ref="F995" si="631">(Z996-Z995)*1</f>
        <v>67</v>
      </c>
      <c r="G995" s="79">
        <f t="shared" ref="G995" si="632">C995+D995+F995+E995</f>
        <v>4844.9999999999127</v>
      </c>
      <c r="H995" s="199">
        <v>3954</v>
      </c>
      <c r="I995" s="199">
        <v>977</v>
      </c>
      <c r="J995" s="200">
        <f t="shared" si="595"/>
        <v>4931</v>
      </c>
      <c r="K995" s="201">
        <f t="shared" si="596"/>
        <v>86.000000000087311</v>
      </c>
      <c r="L995" s="43"/>
      <c r="N995" s="235">
        <v>187727</v>
      </c>
      <c r="O995" s="235">
        <v>98386</v>
      </c>
      <c r="P995" s="235">
        <v>8846</v>
      </c>
      <c r="Q995" s="235"/>
      <c r="R995" s="235">
        <v>36801</v>
      </c>
      <c r="S995" s="236">
        <v>8413.5</v>
      </c>
      <c r="T995" s="236"/>
      <c r="U995" s="236"/>
      <c r="V995" s="235">
        <v>248336</v>
      </c>
      <c r="W995" s="235">
        <v>118948</v>
      </c>
      <c r="X995" s="235">
        <v>95712</v>
      </c>
      <c r="Y995" s="235">
        <v>92778</v>
      </c>
      <c r="Z995" s="235">
        <v>178068</v>
      </c>
    </row>
    <row r="996" spans="1:26" ht="18" hidden="1" customHeight="1" x14ac:dyDescent="0.2">
      <c r="A996" s="47">
        <f t="shared" si="496"/>
        <v>43847</v>
      </c>
      <c r="B996" s="47" t="str">
        <f t="shared" si="602"/>
        <v>五</v>
      </c>
      <c r="C996" s="48">
        <f t="shared" ref="C996:C997" si="633">(V997-V996)*1+(W997-W996)*32+(X997-X996)*12+(Y997-Y996)*6</f>
        <v>0</v>
      </c>
      <c r="D996" s="99">
        <f t="shared" si="598"/>
        <v>0</v>
      </c>
      <c r="E996" s="45">
        <f t="shared" si="599"/>
        <v>0</v>
      </c>
      <c r="F996" s="45">
        <f t="shared" ref="F996:F997" si="634">(Z997-Z996)*1</f>
        <v>0</v>
      </c>
      <c r="G996" s="79">
        <f t="shared" ref="G996:G997" si="635">C996+D996+F996+E996</f>
        <v>0</v>
      </c>
      <c r="H996" s="199">
        <v>3995</v>
      </c>
      <c r="I996" s="199">
        <v>985</v>
      </c>
      <c r="J996" s="200">
        <f t="shared" si="595"/>
        <v>4980</v>
      </c>
      <c r="K996" s="201">
        <f t="shared" si="596"/>
        <v>4980</v>
      </c>
      <c r="L996" s="43"/>
      <c r="N996" s="235">
        <v>187937</v>
      </c>
      <c r="O996" s="235">
        <v>98468</v>
      </c>
      <c r="P996" s="235">
        <v>8861</v>
      </c>
      <c r="Q996" s="235"/>
      <c r="R996" s="235">
        <v>36828</v>
      </c>
      <c r="S996" s="236">
        <v>8422.7999999999993</v>
      </c>
      <c r="T996" s="236"/>
      <c r="U996" s="236"/>
      <c r="V996" s="235">
        <v>248499</v>
      </c>
      <c r="W996" s="235">
        <v>118977</v>
      </c>
      <c r="X996" s="235">
        <v>95774</v>
      </c>
      <c r="Y996" s="235">
        <v>92778</v>
      </c>
      <c r="Z996" s="235">
        <v>178135</v>
      </c>
    </row>
    <row r="997" spans="1:26" ht="18" hidden="1" customHeight="1" x14ac:dyDescent="0.2">
      <c r="A997" s="47">
        <f t="shared" si="496"/>
        <v>43848</v>
      </c>
      <c r="B997" s="47" t="str">
        <f t="shared" si="602"/>
        <v>六</v>
      </c>
      <c r="C997" s="48">
        <f t="shared" si="633"/>
        <v>0</v>
      </c>
      <c r="D997" s="99">
        <f t="shared" si="598"/>
        <v>0</v>
      </c>
      <c r="E997" s="45">
        <f t="shared" si="599"/>
        <v>0</v>
      </c>
      <c r="F997" s="45">
        <f t="shared" si="634"/>
        <v>0</v>
      </c>
      <c r="G997" s="79">
        <f t="shared" si="635"/>
        <v>0</v>
      </c>
      <c r="H997" s="199">
        <v>0</v>
      </c>
      <c r="I997" s="199">
        <f>2499+880</f>
        <v>3379</v>
      </c>
      <c r="J997" s="200">
        <f t="shared" si="595"/>
        <v>3379</v>
      </c>
      <c r="K997" s="201">
        <f t="shared" si="596"/>
        <v>3379</v>
      </c>
      <c r="L997" s="43"/>
      <c r="N997" s="153">
        <v>187937</v>
      </c>
      <c r="O997" s="153">
        <v>98468</v>
      </c>
      <c r="P997" s="153">
        <v>8861</v>
      </c>
      <c r="Q997" s="153"/>
      <c r="R997" s="153">
        <v>36828</v>
      </c>
      <c r="S997" s="154">
        <v>8422.7999999999993</v>
      </c>
      <c r="T997" s="154"/>
      <c r="U997" s="154"/>
      <c r="V997" s="153">
        <v>248499</v>
      </c>
      <c r="W997" s="153">
        <v>118977</v>
      </c>
      <c r="X997" s="153">
        <v>95774</v>
      </c>
      <c r="Y997" s="153">
        <v>92778</v>
      </c>
      <c r="Z997" s="153">
        <v>178135</v>
      </c>
    </row>
    <row r="998" spans="1:26" ht="18" hidden="1" customHeight="1" x14ac:dyDescent="0.2">
      <c r="A998" s="47">
        <f t="shared" si="496"/>
        <v>43849</v>
      </c>
      <c r="B998" s="47" t="str">
        <f t="shared" si="602"/>
        <v>日</v>
      </c>
      <c r="C998" s="48">
        <f t="shared" ref="C998" si="636">(V999-V998)*1+(W999-W998)*32+(X999-X998)*12+(Y999-Y998)*6</f>
        <v>3300</v>
      </c>
      <c r="D998" s="99">
        <f t="shared" si="598"/>
        <v>4344</v>
      </c>
      <c r="E998" s="45">
        <f t="shared" si="599"/>
        <v>3586.0000000000873</v>
      </c>
      <c r="F998" s="45">
        <f t="shared" ref="F998" si="637">(Z999-Z998)*1</f>
        <v>210</v>
      </c>
      <c r="G998" s="79">
        <f t="shared" ref="G998" si="638">C998+D998+F998+E998</f>
        <v>11440.000000000087</v>
      </c>
      <c r="H998" s="199">
        <v>0</v>
      </c>
      <c r="I998" s="199">
        <v>3413</v>
      </c>
      <c r="J998" s="200">
        <f t="shared" si="595"/>
        <v>3413</v>
      </c>
      <c r="K998" s="201">
        <f t="shared" si="596"/>
        <v>-8027.0000000000873</v>
      </c>
      <c r="L998" s="43"/>
      <c r="N998" s="153">
        <v>187937</v>
      </c>
      <c r="O998" s="153">
        <v>98468</v>
      </c>
      <c r="P998" s="153">
        <v>8861</v>
      </c>
      <c r="Q998" s="153"/>
      <c r="R998" s="153">
        <v>36828</v>
      </c>
      <c r="S998" s="154">
        <v>8422.7999999999993</v>
      </c>
      <c r="T998" s="154"/>
      <c r="U998" s="154"/>
      <c r="V998" s="153">
        <v>248499</v>
      </c>
      <c r="W998" s="153">
        <v>118977</v>
      </c>
      <c r="X998" s="153">
        <v>95774</v>
      </c>
      <c r="Y998" s="153">
        <v>92778</v>
      </c>
      <c r="Z998" s="153">
        <v>178135</v>
      </c>
    </row>
    <row r="999" spans="1:26" ht="18" hidden="1" customHeight="1" x14ac:dyDescent="0.2">
      <c r="A999" s="47">
        <f t="shared" si="496"/>
        <v>43850</v>
      </c>
      <c r="B999" s="47" t="str">
        <f t="shared" si="602"/>
        <v>一</v>
      </c>
      <c r="C999" s="48">
        <f t="shared" ref="C999" si="639">(V1000-V999)*1+(W1000-W999)*32+(X1000-X999)*12+(Y1000-Y999)*6</f>
        <v>1860</v>
      </c>
      <c r="D999" s="99">
        <f t="shared" si="598"/>
        <v>2784</v>
      </c>
      <c r="E999" s="45">
        <f t="shared" si="599"/>
        <v>1394.9999999999563</v>
      </c>
      <c r="F999" s="45">
        <f t="shared" ref="F999" si="640">(Z1000-Z999)*1</f>
        <v>66</v>
      </c>
      <c r="G999" s="79">
        <f t="shared" ref="G999" si="641">C999+D999+F999+E999</f>
        <v>6104.9999999999563</v>
      </c>
      <c r="H999" s="199">
        <v>4377</v>
      </c>
      <c r="I999" s="199">
        <v>1024</v>
      </c>
      <c r="J999" s="200">
        <f t="shared" si="595"/>
        <v>5401</v>
      </c>
      <c r="K999" s="201">
        <f t="shared" si="596"/>
        <v>-703.99999999995634</v>
      </c>
      <c r="L999" s="43"/>
      <c r="N999" s="235">
        <v>188457</v>
      </c>
      <c r="O999" s="235">
        <v>98668</v>
      </c>
      <c r="P999" s="235">
        <v>8884</v>
      </c>
      <c r="Q999" s="235"/>
      <c r="R999" s="235">
        <v>36910</v>
      </c>
      <c r="S999" s="236">
        <v>8452</v>
      </c>
      <c r="T999" s="236"/>
      <c r="U999" s="236"/>
      <c r="V999" s="235">
        <v>248939</v>
      </c>
      <c r="W999" s="235">
        <v>119024</v>
      </c>
      <c r="X999" s="235">
        <v>95887</v>
      </c>
      <c r="Y999" s="235">
        <v>92778</v>
      </c>
      <c r="Z999" s="235">
        <v>178345</v>
      </c>
    </row>
    <row r="1000" spans="1:26" ht="18" hidden="1" customHeight="1" x14ac:dyDescent="0.2">
      <c r="A1000" s="47">
        <f t="shared" ref="A1000:A1063" si="642">A999+1</f>
        <v>43851</v>
      </c>
      <c r="B1000" s="47" t="str">
        <f t="shared" si="602"/>
        <v>二</v>
      </c>
      <c r="C1000" s="48">
        <f t="shared" ref="C1000" si="643">(V1001-V1000)*1+(W1001-W1000)*32+(X1001-X1000)*12+(Y1001-Y1000)*6</f>
        <v>1677</v>
      </c>
      <c r="D1000" s="99">
        <f t="shared" si="598"/>
        <v>1208</v>
      </c>
      <c r="E1000" s="45">
        <f t="shared" si="599"/>
        <v>1154.9999999999563</v>
      </c>
      <c r="F1000" s="45">
        <f t="shared" ref="F1000" si="644">(Z1001-Z1000)*1</f>
        <v>78</v>
      </c>
      <c r="G1000" s="79">
        <f t="shared" ref="G1000" si="645">C1000+D1000+F1000+E1000</f>
        <v>4117.9999999999563</v>
      </c>
      <c r="H1000" s="199">
        <v>3960</v>
      </c>
      <c r="I1000" s="199">
        <v>1080</v>
      </c>
      <c r="J1000" s="200">
        <f t="shared" si="595"/>
        <v>5040</v>
      </c>
      <c r="K1000" s="201">
        <f t="shared" si="596"/>
        <v>922.00000000004366</v>
      </c>
      <c r="L1000" s="43"/>
      <c r="N1000" s="235">
        <v>188797</v>
      </c>
      <c r="O1000" s="235">
        <v>98756</v>
      </c>
      <c r="P1000" s="235">
        <v>8892</v>
      </c>
      <c r="Q1000" s="235"/>
      <c r="R1000" s="235">
        <v>36937</v>
      </c>
      <c r="S1000" s="236">
        <v>8463.4</v>
      </c>
      <c r="T1000" s="236"/>
      <c r="U1000" s="236"/>
      <c r="V1000" s="235">
        <v>249107</v>
      </c>
      <c r="W1000" s="235">
        <v>119051</v>
      </c>
      <c r="X1000" s="235">
        <v>95956</v>
      </c>
      <c r="Y1000" s="235">
        <v>92778</v>
      </c>
      <c r="Z1000" s="235">
        <v>178411</v>
      </c>
    </row>
    <row r="1001" spans="1:26" ht="18" hidden="1" customHeight="1" x14ac:dyDescent="0.2">
      <c r="A1001" s="47">
        <f t="shared" si="642"/>
        <v>43852</v>
      </c>
      <c r="B1001" s="47" t="str">
        <f t="shared" si="602"/>
        <v>三</v>
      </c>
      <c r="C1001" s="48">
        <f t="shared" ref="C1001:C1008" si="646">(V1002-V1001)*1+(W1002-W1001)*32+(X1002-X1001)*12+(Y1002-Y1001)*6</f>
        <v>0</v>
      </c>
      <c r="D1001" s="99">
        <f t="shared" si="598"/>
        <v>0</v>
      </c>
      <c r="E1001" s="45">
        <f t="shared" si="599"/>
        <v>0</v>
      </c>
      <c r="F1001" s="45">
        <f t="shared" ref="F1001:F1008" si="647">(Z1002-Z1001)*1</f>
        <v>0</v>
      </c>
      <c r="G1001" s="79">
        <f t="shared" ref="G1001:G1008" si="648">C1001+D1001+F1001+E1001</f>
        <v>0</v>
      </c>
      <c r="H1001" s="199">
        <v>2658</v>
      </c>
      <c r="I1001" s="199">
        <v>957</v>
      </c>
      <c r="J1001" s="200">
        <f t="shared" si="595"/>
        <v>3615</v>
      </c>
      <c r="K1001" s="201">
        <f t="shared" si="596"/>
        <v>3615</v>
      </c>
      <c r="L1001" s="43"/>
      <c r="N1001" s="235">
        <v>188937</v>
      </c>
      <c r="O1001" s="235">
        <v>98851</v>
      </c>
      <c r="P1001" s="235">
        <v>8903</v>
      </c>
      <c r="Q1001" s="235"/>
      <c r="R1001" s="235">
        <v>36964</v>
      </c>
      <c r="S1001" s="236">
        <v>8472.7999999999993</v>
      </c>
      <c r="T1001" s="236"/>
      <c r="U1001" s="236"/>
      <c r="V1001" s="235">
        <v>249268</v>
      </c>
      <c r="W1001" s="235">
        <v>119077</v>
      </c>
      <c r="X1001" s="235">
        <v>96013</v>
      </c>
      <c r="Y1001" s="235">
        <v>92778</v>
      </c>
      <c r="Z1001" s="235">
        <v>178489</v>
      </c>
    </row>
    <row r="1002" spans="1:26" ht="18" hidden="1" customHeight="1" x14ac:dyDescent="0.2">
      <c r="A1002" s="47">
        <f t="shared" si="642"/>
        <v>43853</v>
      </c>
      <c r="B1002" s="47" t="str">
        <f t="shared" si="602"/>
        <v>四</v>
      </c>
      <c r="C1002" s="48">
        <f t="shared" si="646"/>
        <v>0</v>
      </c>
      <c r="D1002" s="99">
        <f t="shared" si="598"/>
        <v>0</v>
      </c>
      <c r="E1002" s="45">
        <f t="shared" si="599"/>
        <v>0</v>
      </c>
      <c r="F1002" s="45">
        <f t="shared" si="647"/>
        <v>0</v>
      </c>
      <c r="G1002" s="79">
        <f t="shared" si="648"/>
        <v>0</v>
      </c>
      <c r="H1002" s="199">
        <v>1240</v>
      </c>
      <c r="I1002" s="199">
        <v>251</v>
      </c>
      <c r="J1002" s="200">
        <f t="shared" si="595"/>
        <v>1491</v>
      </c>
      <c r="K1002" s="201">
        <f t="shared" si="596"/>
        <v>1491</v>
      </c>
      <c r="L1002" s="43"/>
      <c r="N1002" s="153">
        <v>188937</v>
      </c>
      <c r="O1002" s="153">
        <v>98851</v>
      </c>
      <c r="P1002" s="153">
        <v>8903</v>
      </c>
      <c r="Q1002" s="153"/>
      <c r="R1002" s="153">
        <v>36964</v>
      </c>
      <c r="S1002" s="154">
        <v>8472.7999999999993</v>
      </c>
      <c r="T1002" s="154"/>
      <c r="U1002" s="154"/>
      <c r="V1002" s="153">
        <v>249268</v>
      </c>
      <c r="W1002" s="153">
        <v>119077</v>
      </c>
      <c r="X1002" s="153">
        <v>96013</v>
      </c>
      <c r="Y1002" s="153">
        <v>92778</v>
      </c>
      <c r="Z1002" s="153">
        <v>178489</v>
      </c>
    </row>
    <row r="1003" spans="1:26" ht="18" hidden="1" customHeight="1" x14ac:dyDescent="0.2">
      <c r="A1003" s="47">
        <f t="shared" si="642"/>
        <v>43854</v>
      </c>
      <c r="B1003" s="47" t="str">
        <f t="shared" si="602"/>
        <v>五</v>
      </c>
      <c r="C1003" s="48">
        <f t="shared" si="646"/>
        <v>0</v>
      </c>
      <c r="D1003" s="99">
        <f t="shared" si="598"/>
        <v>0</v>
      </c>
      <c r="E1003" s="45">
        <f t="shared" si="599"/>
        <v>0</v>
      </c>
      <c r="F1003" s="45">
        <f t="shared" si="647"/>
        <v>0</v>
      </c>
      <c r="G1003" s="79">
        <f t="shared" si="648"/>
        <v>0</v>
      </c>
      <c r="H1003" s="199">
        <v>0</v>
      </c>
      <c r="I1003" s="199">
        <v>1554</v>
      </c>
      <c r="J1003" s="200">
        <f t="shared" si="595"/>
        <v>1554</v>
      </c>
      <c r="K1003" s="201">
        <f t="shared" si="596"/>
        <v>1554</v>
      </c>
      <c r="L1003" s="43"/>
      <c r="N1003" s="153">
        <v>188937</v>
      </c>
      <c r="O1003" s="153">
        <v>98851</v>
      </c>
      <c r="P1003" s="153">
        <v>8903</v>
      </c>
      <c r="Q1003" s="153"/>
      <c r="R1003" s="153">
        <v>36964</v>
      </c>
      <c r="S1003" s="154">
        <v>8472.7999999999993</v>
      </c>
      <c r="T1003" s="154"/>
      <c r="U1003" s="154"/>
      <c r="V1003" s="153">
        <v>249268</v>
      </c>
      <c r="W1003" s="153">
        <v>119077</v>
      </c>
      <c r="X1003" s="153">
        <v>96013</v>
      </c>
      <c r="Y1003" s="153">
        <v>92778</v>
      </c>
      <c r="Z1003" s="153">
        <v>178489</v>
      </c>
    </row>
    <row r="1004" spans="1:26" ht="18" hidden="1" customHeight="1" x14ac:dyDescent="0.2">
      <c r="A1004" s="47">
        <f t="shared" si="642"/>
        <v>43855</v>
      </c>
      <c r="B1004" s="47" t="str">
        <f t="shared" si="602"/>
        <v>六</v>
      </c>
      <c r="C1004" s="48">
        <f t="shared" si="646"/>
        <v>0</v>
      </c>
      <c r="D1004" s="99">
        <f t="shared" si="598"/>
        <v>0</v>
      </c>
      <c r="E1004" s="45">
        <f t="shared" si="599"/>
        <v>0</v>
      </c>
      <c r="F1004" s="45">
        <f t="shared" si="647"/>
        <v>0</v>
      </c>
      <c r="G1004" s="79">
        <f t="shared" si="648"/>
        <v>0</v>
      </c>
      <c r="H1004" s="199">
        <v>0</v>
      </c>
      <c r="I1004" s="199">
        <v>1563</v>
      </c>
      <c r="J1004" s="200">
        <f t="shared" si="595"/>
        <v>1563</v>
      </c>
      <c r="K1004" s="201">
        <f t="shared" si="596"/>
        <v>1563</v>
      </c>
      <c r="L1004" s="43"/>
      <c r="N1004" s="153">
        <v>188937</v>
      </c>
      <c r="O1004" s="153">
        <v>98851</v>
      </c>
      <c r="P1004" s="153">
        <v>8903</v>
      </c>
      <c r="Q1004" s="153"/>
      <c r="R1004" s="153">
        <v>36964</v>
      </c>
      <c r="S1004" s="154">
        <v>8472.7999999999993</v>
      </c>
      <c r="T1004" s="154"/>
      <c r="U1004" s="154"/>
      <c r="V1004" s="153">
        <v>249268</v>
      </c>
      <c r="W1004" s="153">
        <v>119077</v>
      </c>
      <c r="X1004" s="153">
        <v>96013</v>
      </c>
      <c r="Y1004" s="153">
        <v>92778</v>
      </c>
      <c r="Z1004" s="153">
        <v>178489</v>
      </c>
    </row>
    <row r="1005" spans="1:26" ht="18" hidden="1" customHeight="1" x14ac:dyDescent="0.2">
      <c r="A1005" s="47">
        <f t="shared" si="642"/>
        <v>43856</v>
      </c>
      <c r="B1005" s="47" t="str">
        <f t="shared" si="602"/>
        <v>日</v>
      </c>
      <c r="C1005" s="48">
        <f t="shared" si="646"/>
        <v>0</v>
      </c>
      <c r="D1005" s="99">
        <f t="shared" si="598"/>
        <v>0</v>
      </c>
      <c r="E1005" s="45">
        <f t="shared" si="599"/>
        <v>0</v>
      </c>
      <c r="F1005" s="45">
        <f t="shared" si="647"/>
        <v>0</v>
      </c>
      <c r="G1005" s="79">
        <f t="shared" si="648"/>
        <v>0</v>
      </c>
      <c r="H1005" s="199">
        <v>0</v>
      </c>
      <c r="I1005" s="199">
        <v>1670</v>
      </c>
      <c r="J1005" s="200">
        <f t="shared" si="595"/>
        <v>1670</v>
      </c>
      <c r="K1005" s="201">
        <f t="shared" si="596"/>
        <v>1670</v>
      </c>
      <c r="L1005" s="43"/>
      <c r="N1005" s="153">
        <v>188937</v>
      </c>
      <c r="O1005" s="153">
        <v>98851</v>
      </c>
      <c r="P1005" s="153">
        <v>8903</v>
      </c>
      <c r="Q1005" s="153"/>
      <c r="R1005" s="153">
        <v>36964</v>
      </c>
      <c r="S1005" s="154">
        <v>8472.7999999999993</v>
      </c>
      <c r="T1005" s="154"/>
      <c r="U1005" s="154"/>
      <c r="V1005" s="153">
        <v>249268</v>
      </c>
      <c r="W1005" s="153">
        <v>119077</v>
      </c>
      <c r="X1005" s="153">
        <v>96013</v>
      </c>
      <c r="Y1005" s="153">
        <v>92778</v>
      </c>
      <c r="Z1005" s="153">
        <v>178489</v>
      </c>
    </row>
    <row r="1006" spans="1:26" ht="18" hidden="1" customHeight="1" x14ac:dyDescent="0.2">
      <c r="A1006" s="47">
        <f t="shared" si="642"/>
        <v>43857</v>
      </c>
      <c r="B1006" s="47" t="str">
        <f t="shared" si="602"/>
        <v>一</v>
      </c>
      <c r="C1006" s="48">
        <f t="shared" si="646"/>
        <v>0</v>
      </c>
      <c r="D1006" s="99">
        <f t="shared" si="598"/>
        <v>0</v>
      </c>
      <c r="E1006" s="45">
        <f t="shared" si="599"/>
        <v>0</v>
      </c>
      <c r="F1006" s="45">
        <f t="shared" si="647"/>
        <v>0</v>
      </c>
      <c r="G1006" s="79">
        <f t="shared" si="648"/>
        <v>0</v>
      </c>
      <c r="H1006" s="199">
        <v>0</v>
      </c>
      <c r="I1006" s="199">
        <v>1813</v>
      </c>
      <c r="J1006" s="200">
        <f t="shared" si="595"/>
        <v>1813</v>
      </c>
      <c r="K1006" s="201">
        <f t="shared" si="596"/>
        <v>1813</v>
      </c>
      <c r="L1006" s="43"/>
      <c r="N1006" s="153">
        <v>188937</v>
      </c>
      <c r="O1006" s="153">
        <v>98851</v>
      </c>
      <c r="P1006" s="153">
        <v>8903</v>
      </c>
      <c r="Q1006" s="153"/>
      <c r="R1006" s="153">
        <v>36964</v>
      </c>
      <c r="S1006" s="154">
        <v>8472.7999999999993</v>
      </c>
      <c r="T1006" s="154"/>
      <c r="U1006" s="154"/>
      <c r="V1006" s="153">
        <v>249268</v>
      </c>
      <c r="W1006" s="153">
        <v>119077</v>
      </c>
      <c r="X1006" s="153">
        <v>96013</v>
      </c>
      <c r="Y1006" s="153">
        <v>92778</v>
      </c>
      <c r="Z1006" s="153">
        <v>178489</v>
      </c>
    </row>
    <row r="1007" spans="1:26" ht="18" hidden="1" customHeight="1" x14ac:dyDescent="0.2">
      <c r="A1007" s="47">
        <f t="shared" si="642"/>
        <v>43858</v>
      </c>
      <c r="B1007" s="47" t="str">
        <f t="shared" si="602"/>
        <v>二</v>
      </c>
      <c r="C1007" s="48">
        <f t="shared" si="646"/>
        <v>0</v>
      </c>
      <c r="D1007" s="99">
        <f t="shared" si="598"/>
        <v>0</v>
      </c>
      <c r="E1007" s="45">
        <f t="shared" si="599"/>
        <v>0</v>
      </c>
      <c r="F1007" s="45">
        <f t="shared" si="647"/>
        <v>0</v>
      </c>
      <c r="G1007" s="79">
        <f t="shared" si="648"/>
        <v>0</v>
      </c>
      <c r="H1007" s="199">
        <v>0</v>
      </c>
      <c r="I1007" s="199">
        <v>1960</v>
      </c>
      <c r="J1007" s="200">
        <f t="shared" si="595"/>
        <v>1960</v>
      </c>
      <c r="K1007" s="201">
        <f t="shared" si="596"/>
        <v>1960</v>
      </c>
      <c r="L1007" s="43"/>
      <c r="N1007" s="153">
        <v>188937</v>
      </c>
      <c r="O1007" s="153">
        <v>98851</v>
      </c>
      <c r="P1007" s="153">
        <v>8903</v>
      </c>
      <c r="Q1007" s="153"/>
      <c r="R1007" s="153">
        <v>36964</v>
      </c>
      <c r="S1007" s="154">
        <v>8472.7999999999993</v>
      </c>
      <c r="T1007" s="154"/>
      <c r="U1007" s="154"/>
      <c r="V1007" s="153">
        <v>249268</v>
      </c>
      <c r="W1007" s="153">
        <v>119077</v>
      </c>
      <c r="X1007" s="153">
        <v>96013</v>
      </c>
      <c r="Y1007" s="153">
        <v>92778</v>
      </c>
      <c r="Z1007" s="153">
        <v>178489</v>
      </c>
    </row>
    <row r="1008" spans="1:26" ht="18" hidden="1" customHeight="1" x14ac:dyDescent="0.2">
      <c r="A1008" s="47">
        <f t="shared" si="642"/>
        <v>43859</v>
      </c>
      <c r="B1008" s="47" t="str">
        <f t="shared" si="602"/>
        <v>三</v>
      </c>
      <c r="C1008" s="48">
        <f t="shared" si="646"/>
        <v>3286</v>
      </c>
      <c r="D1008" s="99">
        <f t="shared" si="598"/>
        <v>3680</v>
      </c>
      <c r="E1008" s="45">
        <f t="shared" si="599"/>
        <v>9494.000000000131</v>
      </c>
      <c r="F1008" s="45">
        <f t="shared" si="647"/>
        <v>508</v>
      </c>
      <c r="G1008" s="79">
        <f t="shared" si="648"/>
        <v>16968.000000000131</v>
      </c>
      <c r="H1008" s="199">
        <v>0</v>
      </c>
      <c r="I1008" s="199">
        <v>3408</v>
      </c>
      <c r="J1008" s="200">
        <f t="shared" si="595"/>
        <v>3408</v>
      </c>
      <c r="K1008" s="201">
        <f t="shared" si="596"/>
        <v>-13560.000000000131</v>
      </c>
      <c r="L1008" s="43"/>
      <c r="N1008" s="153">
        <v>188937</v>
      </c>
      <c r="O1008" s="153">
        <v>98851</v>
      </c>
      <c r="P1008" s="153">
        <v>8903</v>
      </c>
      <c r="Q1008" s="153"/>
      <c r="R1008" s="153">
        <v>36964</v>
      </c>
      <c r="S1008" s="154">
        <v>8472.7999999999993</v>
      </c>
      <c r="T1008" s="154"/>
      <c r="U1008" s="154"/>
      <c r="V1008" s="153">
        <v>249268</v>
      </c>
      <c r="W1008" s="153">
        <v>119077</v>
      </c>
      <c r="X1008" s="153">
        <v>96013</v>
      </c>
      <c r="Y1008" s="153">
        <v>92778</v>
      </c>
      <c r="Z1008" s="153">
        <v>178489</v>
      </c>
    </row>
    <row r="1009" spans="1:26" ht="18" hidden="1" customHeight="1" x14ac:dyDescent="0.2">
      <c r="A1009" s="47">
        <f t="shared" si="642"/>
        <v>43860</v>
      </c>
      <c r="B1009" s="47" t="str">
        <f t="shared" si="602"/>
        <v>四</v>
      </c>
      <c r="C1009" s="48">
        <f t="shared" ref="C1009" si="649">(V1010-V1009)*1+(W1010-W1009)*32+(X1010-X1009)*12+(Y1010-Y1009)*6</f>
        <v>2062</v>
      </c>
      <c r="D1009" s="99">
        <f t="shared" si="598"/>
        <v>1208</v>
      </c>
      <c r="E1009" s="45">
        <f t="shared" si="599"/>
        <v>1181.0000000000437</v>
      </c>
      <c r="F1009" s="45">
        <f t="shared" ref="F1009" si="650">(Z1010-Z1009)*1</f>
        <v>131</v>
      </c>
      <c r="G1009" s="79">
        <f t="shared" ref="G1009" si="651">C1009+D1009+F1009+E1009</f>
        <v>4582.0000000000437</v>
      </c>
      <c r="H1009" s="199">
        <v>4421</v>
      </c>
      <c r="I1009" s="199">
        <v>99</v>
      </c>
      <c r="J1009" s="200">
        <f t="shared" si="595"/>
        <v>4520</v>
      </c>
      <c r="K1009" s="201">
        <f t="shared" si="596"/>
        <v>-62.000000000043656</v>
      </c>
      <c r="L1009" s="43"/>
      <c r="N1009" s="235">
        <v>189367</v>
      </c>
      <c r="O1009" s="235">
        <v>98945</v>
      </c>
      <c r="P1009" s="235">
        <v>8933</v>
      </c>
      <c r="Q1009" s="235"/>
      <c r="R1009" s="235">
        <v>37182</v>
      </c>
      <c r="S1009" s="236">
        <v>8550.1</v>
      </c>
      <c r="T1009" s="236"/>
      <c r="U1009" s="236"/>
      <c r="V1009" s="235">
        <v>250218</v>
      </c>
      <c r="W1009" s="235">
        <v>119147</v>
      </c>
      <c r="X1009" s="235">
        <v>96021</v>
      </c>
      <c r="Y1009" s="235">
        <v>92778</v>
      </c>
      <c r="Z1009" s="235">
        <v>178997</v>
      </c>
    </row>
    <row r="1010" spans="1:26" ht="18" hidden="1" customHeight="1" x14ac:dyDescent="0.2">
      <c r="A1010" s="47">
        <f t="shared" si="642"/>
        <v>43861</v>
      </c>
      <c r="B1010" s="47" t="str">
        <f t="shared" si="602"/>
        <v>五</v>
      </c>
      <c r="C1010" s="48">
        <f t="shared" ref="C1010:C1012" si="652">(V1011-V1010)*1+(W1011-W1010)*32+(X1011-X1010)*12+(Y1011-Y1010)*6</f>
        <v>0</v>
      </c>
      <c r="D1010" s="99">
        <f t="shared" si="598"/>
        <v>0</v>
      </c>
      <c r="E1010" s="45">
        <f t="shared" si="599"/>
        <v>0</v>
      </c>
      <c r="F1010" s="45">
        <f t="shared" ref="F1010:F1012" si="653">(Z1011-Z1010)*1</f>
        <v>0</v>
      </c>
      <c r="G1010" s="79">
        <f t="shared" ref="G1010:G1012" si="654">C1010+D1010+F1010+E1010</f>
        <v>0</v>
      </c>
      <c r="H1010" s="199">
        <v>4062</v>
      </c>
      <c r="I1010" s="199">
        <v>1043</v>
      </c>
      <c r="J1010" s="200">
        <f t="shared" si="595"/>
        <v>5105</v>
      </c>
      <c r="K1010" s="201">
        <f t="shared" si="596"/>
        <v>5105</v>
      </c>
      <c r="L1010" s="43"/>
      <c r="N1010" s="235">
        <v>189506</v>
      </c>
      <c r="O1010" s="235">
        <v>99034</v>
      </c>
      <c r="P1010" s="235">
        <v>8945</v>
      </c>
      <c r="Q1010" s="235"/>
      <c r="R1010" s="235">
        <v>37211</v>
      </c>
      <c r="S1010" s="236">
        <v>8559.7000000000007</v>
      </c>
      <c r="T1010" s="236"/>
      <c r="U1010" s="236"/>
      <c r="V1010" s="235">
        <v>250384</v>
      </c>
      <c r="W1010" s="235">
        <v>119174</v>
      </c>
      <c r="X1010" s="235">
        <v>96107</v>
      </c>
      <c r="Y1010" s="235">
        <v>92778</v>
      </c>
      <c r="Z1010" s="235">
        <v>179128</v>
      </c>
    </row>
    <row r="1011" spans="1:26" ht="18" hidden="1" customHeight="1" x14ac:dyDescent="0.2">
      <c r="A1011" s="47">
        <f t="shared" si="642"/>
        <v>43862</v>
      </c>
      <c r="B1011" s="47" t="str">
        <f t="shared" si="602"/>
        <v>六</v>
      </c>
      <c r="C1011" s="48">
        <f t="shared" si="652"/>
        <v>0</v>
      </c>
      <c r="D1011" s="99">
        <f t="shared" si="598"/>
        <v>0</v>
      </c>
      <c r="E1011" s="45">
        <f t="shared" si="599"/>
        <v>0</v>
      </c>
      <c r="F1011" s="45">
        <f t="shared" si="653"/>
        <v>0</v>
      </c>
      <c r="G1011" s="79">
        <f t="shared" si="654"/>
        <v>0</v>
      </c>
      <c r="H1011" s="199">
        <v>0</v>
      </c>
      <c r="I1011" s="199">
        <v>2248</v>
      </c>
      <c r="J1011" s="200">
        <f>H1011+I1011</f>
        <v>2248</v>
      </c>
      <c r="K1011" s="201">
        <f>J1011-G1011</f>
        <v>2248</v>
      </c>
      <c r="L1011" s="254">
        <v>205</v>
      </c>
      <c r="M1011" s="249">
        <v>0.375</v>
      </c>
      <c r="N1011" s="153">
        <v>189506</v>
      </c>
      <c r="O1011" s="153">
        <v>99034</v>
      </c>
      <c r="P1011" s="153">
        <v>8945</v>
      </c>
      <c r="Q1011" s="153"/>
      <c r="R1011" s="153">
        <v>37211</v>
      </c>
      <c r="S1011" s="154">
        <v>8559.7000000000007</v>
      </c>
      <c r="T1011" s="154"/>
      <c r="U1011" s="154"/>
      <c r="V1011" s="153">
        <v>250384</v>
      </c>
      <c r="W1011" s="153">
        <v>119174</v>
      </c>
      <c r="X1011" s="153">
        <v>96107</v>
      </c>
      <c r="Y1011" s="153">
        <v>92778</v>
      </c>
      <c r="Z1011" s="153">
        <v>179128</v>
      </c>
    </row>
    <row r="1012" spans="1:26" ht="18" hidden="1" customHeight="1" x14ac:dyDescent="0.2">
      <c r="A1012" s="47">
        <f t="shared" si="642"/>
        <v>43863</v>
      </c>
      <c r="B1012" s="47" t="str">
        <f t="shared" si="602"/>
        <v>日</v>
      </c>
      <c r="C1012" s="48">
        <f t="shared" si="652"/>
        <v>3073</v>
      </c>
      <c r="D1012" s="99">
        <f t="shared" si="598"/>
        <v>4336</v>
      </c>
      <c r="E1012" s="45">
        <f t="shared" si="599"/>
        <v>3500</v>
      </c>
      <c r="F1012" s="45">
        <f t="shared" si="653"/>
        <v>431</v>
      </c>
      <c r="G1012" s="79">
        <f t="shared" si="654"/>
        <v>11340</v>
      </c>
      <c r="H1012" s="199">
        <v>0</v>
      </c>
      <c r="I1012" s="199">
        <v>3166</v>
      </c>
      <c r="J1012" s="200">
        <f t="shared" ref="J1012:J1039" si="655">H1012+I1012</f>
        <v>3166</v>
      </c>
      <c r="K1012" s="201">
        <f t="shared" ref="K1012:K1039" si="656">J1012-G1012</f>
        <v>-8174</v>
      </c>
      <c r="L1012" s="254">
        <v>202</v>
      </c>
      <c r="M1012" s="249">
        <v>0.36458333333333331</v>
      </c>
      <c r="N1012" s="153">
        <v>189506</v>
      </c>
      <c r="O1012" s="153">
        <v>99034</v>
      </c>
      <c r="P1012" s="153">
        <v>8945</v>
      </c>
      <c r="Q1012" s="153"/>
      <c r="R1012" s="153">
        <v>37211</v>
      </c>
      <c r="S1012" s="154">
        <v>8559.7000000000007</v>
      </c>
      <c r="T1012" s="154"/>
      <c r="U1012" s="154"/>
      <c r="V1012" s="153">
        <v>250384</v>
      </c>
      <c r="W1012" s="153">
        <v>119174</v>
      </c>
      <c r="X1012" s="153">
        <v>96107</v>
      </c>
      <c r="Y1012" s="153">
        <v>92778</v>
      </c>
      <c r="Z1012" s="153">
        <v>179128</v>
      </c>
    </row>
    <row r="1013" spans="1:26" ht="18" hidden="1" customHeight="1" x14ac:dyDescent="0.2">
      <c r="A1013" s="47">
        <f t="shared" si="642"/>
        <v>43864</v>
      </c>
      <c r="B1013" s="47" t="str">
        <f t="shared" si="602"/>
        <v>一</v>
      </c>
      <c r="C1013" s="48">
        <f t="shared" ref="C1013" si="657">(V1014-V1013)*1+(W1014-W1013)*32+(X1014-X1013)*12+(Y1014-Y1013)*6</f>
        <v>1536</v>
      </c>
      <c r="D1013" s="99">
        <f t="shared" si="598"/>
        <v>2088</v>
      </c>
      <c r="E1013" s="45">
        <f t="shared" si="599"/>
        <v>1155.9999999999563</v>
      </c>
      <c r="F1013" s="45">
        <f t="shared" ref="F1013" si="658">(Z1014-Z1013)*1</f>
        <v>121</v>
      </c>
      <c r="G1013" s="79">
        <f t="shared" ref="G1013" si="659">C1013+D1013+F1013+E1013</f>
        <v>4900.9999999999563</v>
      </c>
      <c r="H1013" s="199">
        <v>4227</v>
      </c>
      <c r="I1013" s="199">
        <v>1094</v>
      </c>
      <c r="J1013" s="200">
        <f t="shared" si="655"/>
        <v>5321</v>
      </c>
      <c r="K1013" s="201">
        <f t="shared" si="656"/>
        <v>420.00000000004366</v>
      </c>
      <c r="L1013" s="255">
        <v>404</v>
      </c>
      <c r="M1013" s="250">
        <v>0.46875</v>
      </c>
      <c r="N1013" s="235">
        <v>190027</v>
      </c>
      <c r="O1013" s="235">
        <v>99234</v>
      </c>
      <c r="P1013" s="235">
        <v>8966</v>
      </c>
      <c r="Q1013" s="235"/>
      <c r="R1013" s="235">
        <v>37291</v>
      </c>
      <c r="S1013" s="236">
        <v>8588.2000000000007</v>
      </c>
      <c r="T1013" s="236"/>
      <c r="U1013" s="236"/>
      <c r="V1013" s="235">
        <v>250729</v>
      </c>
      <c r="W1013" s="235">
        <v>119218</v>
      </c>
      <c r="X1013" s="235">
        <v>96217</v>
      </c>
      <c r="Y1013" s="235">
        <v>92778</v>
      </c>
      <c r="Z1013" s="235">
        <v>179559</v>
      </c>
    </row>
    <row r="1014" spans="1:26" ht="18" hidden="1" customHeight="1" x14ac:dyDescent="0.2">
      <c r="A1014" s="47">
        <f t="shared" si="642"/>
        <v>43865</v>
      </c>
      <c r="B1014" s="47" t="str">
        <f t="shared" si="602"/>
        <v>二</v>
      </c>
      <c r="C1014" s="48">
        <f t="shared" ref="C1014" si="660">(V1015-V1014)*1+(W1015-W1014)*32+(X1015-X1014)*12+(Y1015-Y1014)*6</f>
        <v>1816</v>
      </c>
      <c r="D1014" s="99">
        <f t="shared" si="598"/>
        <v>2104</v>
      </c>
      <c r="E1014" s="45">
        <f t="shared" si="599"/>
        <v>995.00000000004366</v>
      </c>
      <c r="F1014" s="45">
        <f t="shared" ref="F1014" si="661">(Z1015-Z1014)*1</f>
        <v>121</v>
      </c>
      <c r="G1014" s="79">
        <f t="shared" ref="G1014" si="662">C1014+D1014+F1014+E1014</f>
        <v>5036.0000000000437</v>
      </c>
      <c r="H1014" s="199">
        <v>4016</v>
      </c>
      <c r="I1014" s="199">
        <v>1121</v>
      </c>
      <c r="J1014" s="200">
        <f t="shared" si="655"/>
        <v>5137</v>
      </c>
      <c r="K1014" s="201">
        <f t="shared" si="656"/>
        <v>100.99999999995634</v>
      </c>
      <c r="L1014" s="255">
        <v>414</v>
      </c>
      <c r="M1014" s="250">
        <v>0.40625</v>
      </c>
      <c r="N1014" s="235">
        <v>190277</v>
      </c>
      <c r="O1014" s="235">
        <v>99350</v>
      </c>
      <c r="P1014" s="235">
        <v>8977</v>
      </c>
      <c r="Q1014" s="235"/>
      <c r="R1014" s="235">
        <v>37319</v>
      </c>
      <c r="S1014" s="236">
        <v>8597.6</v>
      </c>
      <c r="T1014" s="236"/>
      <c r="U1014" s="236"/>
      <c r="V1014" s="235">
        <v>250857</v>
      </c>
      <c r="W1014" s="235">
        <v>119244</v>
      </c>
      <c r="X1014" s="235">
        <v>96265</v>
      </c>
      <c r="Y1014" s="235">
        <v>92778</v>
      </c>
      <c r="Z1014" s="235">
        <v>179680</v>
      </c>
    </row>
    <row r="1015" spans="1:26" ht="18" hidden="1" customHeight="1" x14ac:dyDescent="0.2">
      <c r="A1015" s="47">
        <f t="shared" si="642"/>
        <v>43866</v>
      </c>
      <c r="B1015" s="47" t="str">
        <f t="shared" si="602"/>
        <v>三</v>
      </c>
      <c r="C1015" s="48">
        <f t="shared" ref="C1015" si="663">(V1016-V1015)*1+(W1016-W1015)*32+(X1016-X1015)*12+(Y1016-Y1015)*6</f>
        <v>1891</v>
      </c>
      <c r="D1015" s="99">
        <f t="shared" si="598"/>
        <v>2080</v>
      </c>
      <c r="E1015" s="45">
        <f t="shared" si="599"/>
        <v>1049</v>
      </c>
      <c r="F1015" s="45">
        <f t="shared" ref="F1015" si="664">(Z1016-Z1015)*1</f>
        <v>138</v>
      </c>
      <c r="G1015" s="79">
        <f t="shared" ref="G1015" si="665">C1015+D1015+F1015+E1015</f>
        <v>5158</v>
      </c>
      <c r="H1015" s="199">
        <v>4135</v>
      </c>
      <c r="I1015" s="199">
        <v>1135</v>
      </c>
      <c r="J1015" s="200">
        <f t="shared" si="655"/>
        <v>5270</v>
      </c>
      <c r="K1015" s="201">
        <f t="shared" si="656"/>
        <v>112</v>
      </c>
      <c r="L1015" s="255">
        <v>419</v>
      </c>
      <c r="M1015" s="250">
        <v>0.4375</v>
      </c>
      <c r="N1015" s="235">
        <v>190527</v>
      </c>
      <c r="O1015" s="235">
        <v>99426</v>
      </c>
      <c r="P1015" s="235">
        <v>8990</v>
      </c>
      <c r="Q1015" s="235"/>
      <c r="R1015" s="235">
        <v>37342</v>
      </c>
      <c r="S1015" s="236">
        <v>8605.7000000000007</v>
      </c>
      <c r="T1015" s="236"/>
      <c r="U1015" s="236"/>
      <c r="V1015" s="235">
        <v>251005</v>
      </c>
      <c r="W1015" s="235">
        <v>119271</v>
      </c>
      <c r="X1015" s="235">
        <v>96332</v>
      </c>
      <c r="Y1015" s="235">
        <v>92778</v>
      </c>
      <c r="Z1015" s="235">
        <v>179801</v>
      </c>
    </row>
    <row r="1016" spans="1:26" ht="18" hidden="1" customHeight="1" x14ac:dyDescent="0.2">
      <c r="A1016" s="47">
        <f t="shared" si="642"/>
        <v>43867</v>
      </c>
      <c r="B1016" s="47" t="str">
        <f t="shared" si="602"/>
        <v>四</v>
      </c>
      <c r="C1016" s="48">
        <f t="shared" ref="C1016" si="666">(V1017-V1016)*1+(W1017-W1016)*32+(X1017-X1016)*12+(Y1017-Y1016)*6</f>
        <v>1854</v>
      </c>
      <c r="D1016" s="99">
        <f t="shared" si="598"/>
        <v>2104</v>
      </c>
      <c r="E1016" s="45">
        <f t="shared" si="599"/>
        <v>1117.9999999998254</v>
      </c>
      <c r="F1016" s="45">
        <f t="shared" ref="F1016" si="667">(Z1017-Z1016)*1</f>
        <v>110</v>
      </c>
      <c r="G1016" s="79">
        <f t="shared" ref="G1016" si="668">C1016+D1016+F1016+E1016</f>
        <v>5185.9999999998254</v>
      </c>
      <c r="H1016" s="199">
        <v>3781</v>
      </c>
      <c r="I1016" s="199">
        <v>1151</v>
      </c>
      <c r="J1016" s="200">
        <f t="shared" si="655"/>
        <v>4932</v>
      </c>
      <c r="K1016" s="201">
        <f t="shared" si="656"/>
        <v>-253.99999999982538</v>
      </c>
      <c r="L1016" s="254">
        <v>387</v>
      </c>
      <c r="M1016" s="249">
        <v>0.47916666666666669</v>
      </c>
      <c r="N1016" s="235">
        <v>190777</v>
      </c>
      <c r="O1016" s="235">
        <v>99522</v>
      </c>
      <c r="P1016" s="235">
        <v>9000</v>
      </c>
      <c r="Q1016" s="235"/>
      <c r="R1016" s="235">
        <v>37371</v>
      </c>
      <c r="S1016" s="236">
        <v>8614.2000000000007</v>
      </c>
      <c r="T1016" s="236"/>
      <c r="U1016" s="236"/>
      <c r="V1016" s="235">
        <v>251152</v>
      </c>
      <c r="W1016" s="235">
        <v>119297</v>
      </c>
      <c r="X1016" s="235">
        <v>96408</v>
      </c>
      <c r="Y1016" s="235">
        <v>92778</v>
      </c>
      <c r="Z1016" s="235">
        <v>179939</v>
      </c>
    </row>
    <row r="1017" spans="1:26" ht="18" hidden="1" customHeight="1" x14ac:dyDescent="0.2">
      <c r="A1017" s="47">
        <f t="shared" si="642"/>
        <v>43868</v>
      </c>
      <c r="B1017" s="47" t="str">
        <f t="shared" si="602"/>
        <v>五</v>
      </c>
      <c r="C1017" s="48">
        <f t="shared" ref="C1017:C1019" si="669">(V1018-V1017)*1+(W1018-W1017)*32+(X1018-X1017)*12+(Y1018-Y1017)*6</f>
        <v>0</v>
      </c>
      <c r="D1017" s="99">
        <f t="shared" si="598"/>
        <v>0</v>
      </c>
      <c r="E1017" s="45">
        <f t="shared" si="599"/>
        <v>0</v>
      </c>
      <c r="F1017" s="45">
        <f t="shared" ref="F1017:F1019" si="670">(Z1018-Z1017)*1</f>
        <v>0</v>
      </c>
      <c r="G1017" s="79">
        <f t="shared" ref="G1017:G1019" si="671">C1017+D1017+F1017+E1017</f>
        <v>0</v>
      </c>
      <c r="H1017" s="199">
        <v>3931</v>
      </c>
      <c r="I1017" s="199">
        <v>1067</v>
      </c>
      <c r="J1017" s="200">
        <f t="shared" si="655"/>
        <v>4998</v>
      </c>
      <c r="K1017" s="201">
        <f t="shared" si="656"/>
        <v>4998</v>
      </c>
      <c r="L1017" s="254">
        <v>406</v>
      </c>
      <c r="M1017" s="249">
        <v>0.48958333333333331</v>
      </c>
      <c r="N1017" s="235">
        <v>191027</v>
      </c>
      <c r="O1017" s="235">
        <v>99618</v>
      </c>
      <c r="P1017" s="235">
        <v>9013</v>
      </c>
      <c r="Q1017" s="235"/>
      <c r="R1017" s="235">
        <v>37397</v>
      </c>
      <c r="S1017" s="236">
        <v>8623.2999999999993</v>
      </c>
      <c r="T1017" s="236"/>
      <c r="U1017" s="236"/>
      <c r="V1017" s="235">
        <v>251290</v>
      </c>
      <c r="W1017" s="235">
        <v>119321</v>
      </c>
      <c r="X1017" s="235">
        <v>96487</v>
      </c>
      <c r="Y1017" s="235">
        <v>92778</v>
      </c>
      <c r="Z1017" s="235">
        <v>180049</v>
      </c>
    </row>
    <row r="1018" spans="1:26" ht="18" hidden="1" customHeight="1" x14ac:dyDescent="0.2">
      <c r="A1018" s="47">
        <f t="shared" si="642"/>
        <v>43869</v>
      </c>
      <c r="B1018" s="47" t="str">
        <f t="shared" si="602"/>
        <v>六</v>
      </c>
      <c r="C1018" s="48">
        <f t="shared" si="669"/>
        <v>0</v>
      </c>
      <c r="D1018" s="99">
        <f t="shared" si="598"/>
        <v>0</v>
      </c>
      <c r="E1018" s="45">
        <f t="shared" si="599"/>
        <v>0</v>
      </c>
      <c r="F1018" s="45">
        <f t="shared" si="670"/>
        <v>0</v>
      </c>
      <c r="G1018" s="79">
        <f t="shared" si="671"/>
        <v>0</v>
      </c>
      <c r="H1018" s="199">
        <v>0</v>
      </c>
      <c r="I1018" s="199">
        <f>1982+679</f>
        <v>2661</v>
      </c>
      <c r="J1018" s="200">
        <f t="shared" si="655"/>
        <v>2661</v>
      </c>
      <c r="K1018" s="201">
        <f t="shared" si="656"/>
        <v>2661</v>
      </c>
      <c r="L1018" s="254">
        <v>189</v>
      </c>
      <c r="M1018" s="249">
        <v>0.44791666666666669</v>
      </c>
      <c r="N1018" s="160">
        <v>191027</v>
      </c>
      <c r="O1018" s="160">
        <v>99618</v>
      </c>
      <c r="P1018" s="160">
        <v>9013</v>
      </c>
      <c r="Q1018" s="160"/>
      <c r="R1018" s="160">
        <v>37397</v>
      </c>
      <c r="S1018" s="161">
        <v>8623.2999999999993</v>
      </c>
      <c r="T1018" s="161"/>
      <c r="U1018" s="161"/>
      <c r="V1018" s="160">
        <v>251290</v>
      </c>
      <c r="W1018" s="160">
        <v>119321</v>
      </c>
      <c r="X1018" s="160">
        <v>96487</v>
      </c>
      <c r="Y1018" s="160">
        <v>92778</v>
      </c>
      <c r="Z1018" s="160">
        <v>180049</v>
      </c>
    </row>
    <row r="1019" spans="1:26" ht="18" hidden="1" customHeight="1" x14ac:dyDescent="0.2">
      <c r="A1019" s="47">
        <f t="shared" si="642"/>
        <v>43870</v>
      </c>
      <c r="B1019" s="47" t="str">
        <f t="shared" si="602"/>
        <v>日</v>
      </c>
      <c r="C1019" s="48">
        <f t="shared" si="669"/>
        <v>0</v>
      </c>
      <c r="D1019" s="99">
        <f t="shared" si="598"/>
        <v>0</v>
      </c>
      <c r="E1019" s="45">
        <f t="shared" si="599"/>
        <v>0</v>
      </c>
      <c r="F1019" s="45">
        <f t="shared" si="670"/>
        <v>0</v>
      </c>
      <c r="G1019" s="79">
        <f t="shared" si="671"/>
        <v>0</v>
      </c>
      <c r="H1019" s="199">
        <v>0</v>
      </c>
      <c r="I1019" s="199">
        <v>2903</v>
      </c>
      <c r="J1019" s="200">
        <f t="shared" si="655"/>
        <v>2903</v>
      </c>
      <c r="K1019" s="201">
        <f t="shared" si="656"/>
        <v>2903</v>
      </c>
      <c r="L1019" s="254">
        <v>195</v>
      </c>
      <c r="M1019" s="249">
        <v>0.42708333333333331</v>
      </c>
      <c r="N1019" s="160">
        <v>191027</v>
      </c>
      <c r="O1019" s="160">
        <v>99618</v>
      </c>
      <c r="P1019" s="160">
        <v>9013</v>
      </c>
      <c r="Q1019" s="160"/>
      <c r="R1019" s="160">
        <v>37397</v>
      </c>
      <c r="S1019" s="161">
        <v>8623.2999999999993</v>
      </c>
      <c r="T1019" s="161"/>
      <c r="U1019" s="161"/>
      <c r="V1019" s="160">
        <v>251290</v>
      </c>
      <c r="W1019" s="160">
        <v>119321</v>
      </c>
      <c r="X1019" s="160">
        <v>96487</v>
      </c>
      <c r="Y1019" s="160">
        <v>92778</v>
      </c>
      <c r="Z1019" s="160">
        <v>180049</v>
      </c>
    </row>
    <row r="1020" spans="1:26" ht="18" hidden="1" customHeight="1" x14ac:dyDescent="0.2">
      <c r="A1020" s="47">
        <f t="shared" si="642"/>
        <v>43871</v>
      </c>
      <c r="B1020" s="47" t="str">
        <f t="shared" si="602"/>
        <v>一</v>
      </c>
      <c r="C1020" s="48">
        <f t="shared" ref="C1020" si="672">(V1021-V1020)*1+(W1021-W1020)*32+(X1021-X1020)*12+(Y1021-Y1020)*6</f>
        <v>2278</v>
      </c>
      <c r="D1020" s="99">
        <f t="shared" si="598"/>
        <v>4256</v>
      </c>
      <c r="E1020" s="45">
        <f t="shared" si="599"/>
        <v>2835</v>
      </c>
      <c r="F1020" s="45">
        <f t="shared" ref="F1020" si="673">(Z1021-Z1020)*1</f>
        <v>400</v>
      </c>
      <c r="G1020" s="79">
        <f t="shared" ref="G1020" si="674">C1020+D1020+F1020+E1020</f>
        <v>9769</v>
      </c>
      <c r="H1020" s="199">
        <v>4135</v>
      </c>
      <c r="I1020" s="199">
        <v>1124</v>
      </c>
      <c r="J1020" s="200">
        <f t="shared" si="655"/>
        <v>5259</v>
      </c>
      <c r="K1020" s="201">
        <f t="shared" si="656"/>
        <v>-4510</v>
      </c>
      <c r="L1020" s="255">
        <v>408</v>
      </c>
      <c r="M1020" s="250">
        <v>0.5</v>
      </c>
      <c r="N1020" s="160">
        <v>191027</v>
      </c>
      <c r="O1020" s="160">
        <v>99618</v>
      </c>
      <c r="P1020" s="160">
        <v>9013</v>
      </c>
      <c r="Q1020" s="160"/>
      <c r="R1020" s="160">
        <v>37397</v>
      </c>
      <c r="S1020" s="161">
        <v>8623.2999999999993</v>
      </c>
      <c r="T1020" s="161"/>
      <c r="U1020" s="161"/>
      <c r="V1020" s="160">
        <v>251290</v>
      </c>
      <c r="W1020" s="160">
        <v>119321</v>
      </c>
      <c r="X1020" s="160">
        <v>96487</v>
      </c>
      <c r="Y1020" s="160">
        <v>92778</v>
      </c>
      <c r="Z1020" s="160">
        <v>180049</v>
      </c>
    </row>
    <row r="1021" spans="1:26" ht="18" hidden="1" customHeight="1" x14ac:dyDescent="0.2">
      <c r="A1021" s="47">
        <f t="shared" si="642"/>
        <v>43872</v>
      </c>
      <c r="B1021" s="47" t="str">
        <f t="shared" si="602"/>
        <v>二</v>
      </c>
      <c r="C1021" s="48">
        <f t="shared" ref="C1021" si="675">(V1022-V1021)*1+(W1022-W1021)*32+(X1022-X1021)*12+(Y1022-Y1021)*6</f>
        <v>2481</v>
      </c>
      <c r="D1021" s="84">
        <f t="shared" si="598"/>
        <v>2240</v>
      </c>
      <c r="E1021" s="45">
        <f t="shared" si="599"/>
        <v>1130.0000000000873</v>
      </c>
      <c r="F1021" s="45">
        <f t="shared" ref="F1021" si="676">(Z1022-Z1021)*1</f>
        <v>124</v>
      </c>
      <c r="G1021" s="79">
        <f t="shared" ref="G1021" si="677">C1021+D1021+F1021+E1021</f>
        <v>5975.0000000000873</v>
      </c>
      <c r="H1021" s="199">
        <v>3975</v>
      </c>
      <c r="I1021" s="199">
        <v>1192</v>
      </c>
      <c r="J1021" s="200">
        <f t="shared" si="655"/>
        <v>5167</v>
      </c>
      <c r="K1021" s="201">
        <f t="shared" si="656"/>
        <v>-808.00000000008731</v>
      </c>
      <c r="L1021" s="255">
        <v>403</v>
      </c>
      <c r="M1021" s="250">
        <v>0.41666666666666669</v>
      </c>
      <c r="N1021" s="235">
        <v>191537</v>
      </c>
      <c r="O1021" s="235">
        <v>99815</v>
      </c>
      <c r="P1021" s="235">
        <v>9035</v>
      </c>
      <c r="Q1021" s="235"/>
      <c r="R1021" s="235">
        <v>37472</v>
      </c>
      <c r="S1021" s="236">
        <v>8646.2999999999993</v>
      </c>
      <c r="T1021" s="236"/>
      <c r="U1021" s="236"/>
      <c r="V1021" s="235">
        <v>251512</v>
      </c>
      <c r="W1021" s="235">
        <v>119365</v>
      </c>
      <c r="X1021" s="235">
        <v>96541</v>
      </c>
      <c r="Y1021" s="235">
        <v>92778</v>
      </c>
      <c r="Z1021" s="235">
        <v>180449</v>
      </c>
    </row>
    <row r="1022" spans="1:26" ht="18" hidden="1" customHeight="1" x14ac:dyDescent="0.2">
      <c r="A1022" s="47">
        <f t="shared" si="642"/>
        <v>43873</v>
      </c>
      <c r="B1022" s="47" t="str">
        <f t="shared" si="602"/>
        <v>三</v>
      </c>
      <c r="C1022" s="48">
        <f t="shared" ref="C1022:C1023" si="678">(V1023-V1022)*1+(W1023-W1022)*32+(X1023-X1022)*12+(Y1023-Y1022)*6</f>
        <v>2877</v>
      </c>
      <c r="D1022" s="237">
        <f t="shared" si="598"/>
        <v>4240</v>
      </c>
      <c r="E1022" s="45">
        <f t="shared" si="599"/>
        <v>1971</v>
      </c>
      <c r="F1022" s="45">
        <f t="shared" ref="F1022:F1023" si="679">(Z1023-Z1022)*1</f>
        <v>183</v>
      </c>
      <c r="G1022" s="79">
        <f t="shared" ref="G1022:G1023" si="680">C1022+D1022+F1022+E1022</f>
        <v>9271</v>
      </c>
      <c r="H1022" s="199">
        <v>4032</v>
      </c>
      <c r="I1022" s="199">
        <v>1150</v>
      </c>
      <c r="J1022" s="200">
        <f t="shared" si="655"/>
        <v>5182</v>
      </c>
      <c r="K1022" s="201">
        <f t="shared" si="656"/>
        <v>-4089</v>
      </c>
      <c r="L1022" s="254">
        <v>399</v>
      </c>
      <c r="M1022" s="249">
        <v>0.4375</v>
      </c>
      <c r="N1022" s="235">
        <v>191807</v>
      </c>
      <c r="O1022" s="235">
        <v>99917</v>
      </c>
      <c r="P1022" s="235">
        <v>9045</v>
      </c>
      <c r="Q1022" s="235"/>
      <c r="R1022" s="235">
        <v>37498</v>
      </c>
      <c r="S1022" s="236">
        <v>8655.5</v>
      </c>
      <c r="T1022" s="236"/>
      <c r="U1022" s="236"/>
      <c r="V1022" s="235">
        <v>251649</v>
      </c>
      <c r="W1022" s="235">
        <v>119391</v>
      </c>
      <c r="X1022" s="235">
        <v>96667</v>
      </c>
      <c r="Y1022" s="235">
        <v>92778</v>
      </c>
      <c r="Z1022" s="235">
        <v>180573</v>
      </c>
    </row>
    <row r="1023" spans="1:26" ht="18" hidden="1" customHeight="1" x14ac:dyDescent="0.2">
      <c r="A1023" s="47">
        <f t="shared" si="642"/>
        <v>43874</v>
      </c>
      <c r="B1023" s="47" t="str">
        <f t="shared" si="602"/>
        <v>四</v>
      </c>
      <c r="C1023" s="48">
        <f t="shared" si="678"/>
        <v>3096</v>
      </c>
      <c r="D1023" s="84">
        <f t="shared" si="598"/>
        <v>2176</v>
      </c>
      <c r="E1023" s="45">
        <f t="shared" si="599"/>
        <v>660.99999999991269</v>
      </c>
      <c r="F1023" s="45">
        <f t="shared" si="679"/>
        <v>96</v>
      </c>
      <c r="G1023" s="79">
        <f t="shared" si="680"/>
        <v>6028.9999999999127</v>
      </c>
      <c r="H1023" s="199">
        <v>4001</v>
      </c>
      <c r="I1023" s="199">
        <v>1126</v>
      </c>
      <c r="J1023" s="200">
        <f t="shared" si="655"/>
        <v>5127</v>
      </c>
      <c r="K1023" s="201">
        <f t="shared" si="656"/>
        <v>-901.99999999991269</v>
      </c>
      <c r="L1023" s="254">
        <v>396</v>
      </c>
      <c r="M1023" s="249">
        <v>0.44791666666666669</v>
      </c>
      <c r="N1023" s="235">
        <v>192317</v>
      </c>
      <c r="O1023" s="235">
        <v>100117</v>
      </c>
      <c r="P1023" s="235">
        <v>9065</v>
      </c>
      <c r="Q1023" s="235"/>
      <c r="R1023" s="235">
        <v>37549</v>
      </c>
      <c r="S1023" s="236">
        <v>8671.5</v>
      </c>
      <c r="T1023" s="236"/>
      <c r="U1023" s="236"/>
      <c r="V1023" s="235">
        <v>251942</v>
      </c>
      <c r="W1023" s="235">
        <v>119444</v>
      </c>
      <c r="X1023" s="235">
        <v>96741</v>
      </c>
      <c r="Y1023" s="235">
        <v>92778</v>
      </c>
      <c r="Z1023" s="235">
        <v>180756</v>
      </c>
    </row>
    <row r="1024" spans="1:26" ht="18" hidden="1" customHeight="1" x14ac:dyDescent="0.2">
      <c r="A1024" s="47">
        <f t="shared" si="642"/>
        <v>43875</v>
      </c>
      <c r="B1024" s="47" t="str">
        <f t="shared" si="602"/>
        <v>五</v>
      </c>
      <c r="C1024" s="48">
        <f>(V1025-V1024)*1+(W1025-W1024)*32+(X1025-X1024)*12+(Y1025-Y1024)*6</f>
        <v>635</v>
      </c>
      <c r="D1024" s="84">
        <f t="shared" si="598"/>
        <v>2112</v>
      </c>
      <c r="E1024" s="45">
        <f t="shared" si="599"/>
        <v>1142.000000000131</v>
      </c>
      <c r="F1024" s="45">
        <f>(Z1025-Z1024)*1</f>
        <v>70</v>
      </c>
      <c r="G1024" s="79">
        <f t="shared" ref="G1024" si="681">C1024+D1024+F1024+E1024</f>
        <v>3959.000000000131</v>
      </c>
      <c r="H1024" s="199">
        <v>4058</v>
      </c>
      <c r="I1024" s="199">
        <v>1148</v>
      </c>
      <c r="J1024" s="200">
        <f t="shared" si="655"/>
        <v>5206</v>
      </c>
      <c r="K1024" s="201">
        <f t="shared" si="656"/>
        <v>1246.999999999869</v>
      </c>
      <c r="L1024" s="254">
        <v>390</v>
      </c>
      <c r="M1024" s="249">
        <v>0.64583333333333337</v>
      </c>
      <c r="N1024" s="235">
        <v>192577</v>
      </c>
      <c r="O1024" s="235">
        <v>100214</v>
      </c>
      <c r="P1024" s="235">
        <v>9077</v>
      </c>
      <c r="Q1024" s="235"/>
      <c r="R1024" s="235">
        <v>37574</v>
      </c>
      <c r="S1024" s="236">
        <v>8676.7999999999993</v>
      </c>
      <c r="T1024" s="236"/>
      <c r="U1024" s="236"/>
      <c r="V1024" s="235">
        <v>252102</v>
      </c>
      <c r="W1024" s="235">
        <v>119475</v>
      </c>
      <c r="X1024" s="235">
        <v>96903</v>
      </c>
      <c r="Y1024" s="235">
        <v>92778</v>
      </c>
      <c r="Z1024" s="235">
        <v>180852</v>
      </c>
    </row>
    <row r="1025" spans="1:26" ht="18" hidden="1" customHeight="1" x14ac:dyDescent="0.2">
      <c r="A1025" s="47">
        <f t="shared" si="642"/>
        <v>43876</v>
      </c>
      <c r="B1025" s="47" t="str">
        <f t="shared" si="602"/>
        <v>六</v>
      </c>
      <c r="C1025" s="48">
        <f t="shared" ref="C1025:C1026" si="682">(V1026-V1025)*1+(W1026-W1025)*32+(X1026-X1025)*12+(Y1026-Y1025)*6</f>
        <v>0</v>
      </c>
      <c r="D1025" s="84">
        <f t="shared" si="598"/>
        <v>0</v>
      </c>
      <c r="E1025" s="45">
        <f t="shared" si="599"/>
        <v>0</v>
      </c>
      <c r="F1025" s="45">
        <f t="shared" ref="F1025:F1026" si="683">(Z1026-Z1025)*1</f>
        <v>0</v>
      </c>
      <c r="G1025" s="79">
        <f t="shared" ref="G1025:G1026" si="684">C1025+D1025+F1025+E1025</f>
        <v>0</v>
      </c>
      <c r="H1025" s="199">
        <v>0</v>
      </c>
      <c r="I1025" s="199">
        <f>3521+934</f>
        <v>4455</v>
      </c>
      <c r="J1025" s="200">
        <f t="shared" si="655"/>
        <v>4455</v>
      </c>
      <c r="K1025" s="201">
        <f t="shared" si="656"/>
        <v>4455</v>
      </c>
      <c r="L1025" s="254">
        <v>409</v>
      </c>
      <c r="M1025" s="249">
        <v>0.39583333333333331</v>
      </c>
      <c r="N1025" s="235">
        <v>192827</v>
      </c>
      <c r="O1025" s="235">
        <v>100305</v>
      </c>
      <c r="P1025" s="235">
        <v>9091</v>
      </c>
      <c r="Q1025" s="235"/>
      <c r="R1025" s="235">
        <v>37600</v>
      </c>
      <c r="S1025" s="236">
        <v>8686.1</v>
      </c>
      <c r="T1025" s="236"/>
      <c r="U1025" s="236"/>
      <c r="V1025" s="235">
        <v>252265</v>
      </c>
      <c r="W1025" s="235">
        <v>119504</v>
      </c>
      <c r="X1025" s="235">
        <v>96865</v>
      </c>
      <c r="Y1025" s="235">
        <v>92778</v>
      </c>
      <c r="Z1025" s="235">
        <v>180922</v>
      </c>
    </row>
    <row r="1026" spans="1:26" ht="18" hidden="1" customHeight="1" x14ac:dyDescent="0.2">
      <c r="A1026" s="47">
        <f t="shared" si="642"/>
        <v>43877</v>
      </c>
      <c r="B1026" s="47" t="str">
        <f t="shared" si="602"/>
        <v>日</v>
      </c>
      <c r="C1026" s="48">
        <f t="shared" si="682"/>
        <v>2182</v>
      </c>
      <c r="D1026" s="84">
        <f t="shared" si="598"/>
        <v>2040</v>
      </c>
      <c r="E1026" s="45">
        <f t="shared" si="599"/>
        <v>2081.9999999999563</v>
      </c>
      <c r="F1026" s="45">
        <f t="shared" si="683"/>
        <v>237</v>
      </c>
      <c r="G1026" s="79">
        <f t="shared" si="684"/>
        <v>6540.9999999999563</v>
      </c>
      <c r="H1026" s="199">
        <v>0</v>
      </c>
      <c r="I1026" s="199">
        <v>2147</v>
      </c>
      <c r="J1026" s="200">
        <f t="shared" si="655"/>
        <v>2147</v>
      </c>
      <c r="K1026" s="201">
        <f t="shared" si="656"/>
        <v>-4393.9999999999563</v>
      </c>
      <c r="L1026" s="254">
        <v>145</v>
      </c>
      <c r="M1026" s="249">
        <v>0.70833333333333337</v>
      </c>
      <c r="N1026" s="153">
        <v>192827</v>
      </c>
      <c r="O1026" s="153">
        <v>100305</v>
      </c>
      <c r="P1026" s="153">
        <v>9091</v>
      </c>
      <c r="Q1026" s="153"/>
      <c r="R1026" s="153">
        <v>37600</v>
      </c>
      <c r="S1026" s="154">
        <v>8686.1</v>
      </c>
      <c r="T1026" s="154"/>
      <c r="U1026" s="154"/>
      <c r="V1026" s="153">
        <v>252265</v>
      </c>
      <c r="W1026" s="153">
        <v>119504</v>
      </c>
      <c r="X1026" s="153">
        <v>96865</v>
      </c>
      <c r="Y1026" s="153">
        <v>92778</v>
      </c>
      <c r="Z1026" s="153">
        <v>180922</v>
      </c>
    </row>
    <row r="1027" spans="1:26" ht="18" hidden="1" customHeight="1" x14ac:dyDescent="0.2">
      <c r="A1027" s="47">
        <f t="shared" si="642"/>
        <v>43878</v>
      </c>
      <c r="B1027" s="47" t="str">
        <f t="shared" si="602"/>
        <v>一</v>
      </c>
      <c r="C1027" s="48">
        <f t="shared" ref="C1027" si="685">(V1028-V1027)*1+(W1028-W1027)*32+(X1028-X1027)*12+(Y1028-Y1027)*6</f>
        <v>1807</v>
      </c>
      <c r="D1027" s="84">
        <f t="shared" si="598"/>
        <v>2168</v>
      </c>
      <c r="E1027" s="45">
        <f t="shared" si="599"/>
        <v>1155.9999999999563</v>
      </c>
      <c r="F1027" s="45">
        <f t="shared" ref="F1027" si="686">(Z1028-Z1027)*1</f>
        <v>139</v>
      </c>
      <c r="G1027" s="79">
        <f t="shared" ref="G1027" si="687">C1027+D1027+F1027+E1027</f>
        <v>5269.9999999999563</v>
      </c>
      <c r="H1027" s="199">
        <v>4229</v>
      </c>
      <c r="I1027" s="199">
        <v>1178</v>
      </c>
      <c r="J1027" s="200">
        <f t="shared" si="655"/>
        <v>5407</v>
      </c>
      <c r="K1027" s="201">
        <f t="shared" si="656"/>
        <v>137.00000000004366</v>
      </c>
      <c r="L1027" s="255">
        <v>404</v>
      </c>
      <c r="M1027" s="256" t="s">
        <v>150</v>
      </c>
      <c r="N1027" s="235">
        <v>193067</v>
      </c>
      <c r="O1027" s="235">
        <v>100404</v>
      </c>
      <c r="P1027" s="235">
        <v>9106</v>
      </c>
      <c r="Q1027" s="235"/>
      <c r="R1027" s="235">
        <v>37654</v>
      </c>
      <c r="S1027" s="236">
        <v>8703</v>
      </c>
      <c r="T1027" s="236"/>
      <c r="U1027" s="236"/>
      <c r="V1027" s="235">
        <v>252563</v>
      </c>
      <c r="W1027" s="235">
        <v>119540</v>
      </c>
      <c r="X1027" s="235">
        <v>96926</v>
      </c>
      <c r="Y1027" s="235">
        <v>92778</v>
      </c>
      <c r="Z1027" s="235">
        <v>181159</v>
      </c>
    </row>
    <row r="1028" spans="1:26" ht="18" hidden="1" customHeight="1" x14ac:dyDescent="0.2">
      <c r="A1028" s="47">
        <f t="shared" si="642"/>
        <v>43879</v>
      </c>
      <c r="B1028" s="47" t="str">
        <f t="shared" si="602"/>
        <v>二</v>
      </c>
      <c r="C1028" s="48">
        <f t="shared" ref="C1028" si="688">(V1029-V1028)*1+(W1029-W1028)*32+(X1029-X1028)*12+(Y1029-Y1028)*6</f>
        <v>1989</v>
      </c>
      <c r="D1028" s="84">
        <f t="shared" si="598"/>
        <v>2160</v>
      </c>
      <c r="E1028" s="45">
        <f t="shared" si="599"/>
        <v>1092.9999999999563</v>
      </c>
      <c r="F1028" s="45">
        <f t="shared" ref="F1028" si="689">(Z1029-Z1028)*1</f>
        <v>117</v>
      </c>
      <c r="G1028" s="79">
        <f t="shared" ref="G1028" si="690">C1028+D1028+F1028+E1028</f>
        <v>5358.9999999999563</v>
      </c>
      <c r="H1028" s="199">
        <v>4274</v>
      </c>
      <c r="I1028" s="199">
        <v>1212</v>
      </c>
      <c r="J1028" s="200">
        <f t="shared" si="655"/>
        <v>5486</v>
      </c>
      <c r="K1028" s="201">
        <f t="shared" si="656"/>
        <v>127.00000000004366</v>
      </c>
      <c r="L1028" s="255">
        <v>412</v>
      </c>
      <c r="M1028" s="250">
        <v>0.41666666666666669</v>
      </c>
      <c r="N1028" s="235">
        <v>193327</v>
      </c>
      <c r="O1028" s="235">
        <v>100506</v>
      </c>
      <c r="P1028" s="235">
        <v>9117</v>
      </c>
      <c r="Q1028" s="235"/>
      <c r="R1028" s="235">
        <v>37682</v>
      </c>
      <c r="S1028" s="236">
        <v>8712.4</v>
      </c>
      <c r="T1028" s="236"/>
      <c r="U1028" s="236"/>
      <c r="V1028" s="235">
        <v>252734</v>
      </c>
      <c r="W1028" s="235">
        <v>119566</v>
      </c>
      <c r="X1028" s="235">
        <v>96993</v>
      </c>
      <c r="Y1028" s="235">
        <v>92778</v>
      </c>
      <c r="Z1028" s="235">
        <v>181298</v>
      </c>
    </row>
    <row r="1029" spans="1:26" ht="18" hidden="1" customHeight="1" x14ac:dyDescent="0.2">
      <c r="A1029" s="47">
        <f t="shared" si="642"/>
        <v>43880</v>
      </c>
      <c r="B1029" s="47" t="str">
        <f t="shared" si="602"/>
        <v>三</v>
      </c>
      <c r="C1029" s="48">
        <f t="shared" ref="C1029" si="691">(V1030-V1029)*1+(W1030-W1029)*32+(X1030-X1029)*12+(Y1030-Y1029)*6</f>
        <v>2069</v>
      </c>
      <c r="D1029" s="84">
        <f t="shared" si="598"/>
        <v>2104</v>
      </c>
      <c r="E1029" s="45">
        <f t="shared" si="599"/>
        <v>998.00000000004366</v>
      </c>
      <c r="F1029" s="45">
        <f t="shared" ref="F1029" si="692">(Z1030-Z1029)*1</f>
        <v>121</v>
      </c>
      <c r="G1029" s="79">
        <f t="shared" ref="G1029" si="693">C1029+D1029+F1029+E1029</f>
        <v>5292.0000000000437</v>
      </c>
      <c r="H1029" s="199">
        <v>4284</v>
      </c>
      <c r="I1029" s="199">
        <v>1178</v>
      </c>
      <c r="J1029" s="200">
        <f t="shared" si="655"/>
        <v>5462</v>
      </c>
      <c r="K1029" s="201">
        <f t="shared" si="656"/>
        <v>169.99999999995634</v>
      </c>
      <c r="L1029" s="255">
        <v>411</v>
      </c>
      <c r="M1029" s="250">
        <v>0.42708333333333331</v>
      </c>
      <c r="N1029" s="235">
        <v>193587</v>
      </c>
      <c r="O1029" s="235">
        <v>100606</v>
      </c>
      <c r="P1029" s="235">
        <v>9127</v>
      </c>
      <c r="Q1029" s="235"/>
      <c r="R1029" s="235">
        <v>37707</v>
      </c>
      <c r="S1029" s="236">
        <v>8721.2999999999993</v>
      </c>
      <c r="T1029" s="236"/>
      <c r="U1029" s="236"/>
      <c r="V1029" s="235">
        <v>252895</v>
      </c>
      <c r="W1029" s="235">
        <v>119595</v>
      </c>
      <c r="X1029" s="235">
        <v>97068</v>
      </c>
      <c r="Y1029" s="235">
        <v>92778</v>
      </c>
      <c r="Z1029" s="235">
        <v>181415</v>
      </c>
    </row>
    <row r="1030" spans="1:26" ht="18" hidden="1" customHeight="1" x14ac:dyDescent="0.2">
      <c r="A1030" s="47">
        <f t="shared" si="642"/>
        <v>43881</v>
      </c>
      <c r="B1030" s="47" t="str">
        <f t="shared" si="602"/>
        <v>四</v>
      </c>
      <c r="C1030" s="48">
        <f t="shared" ref="C1030" si="694">(V1031-V1030)*1+(W1031-W1030)*32+(X1031-X1030)*12+(Y1031-Y1030)*6</f>
        <v>1921</v>
      </c>
      <c r="D1030" s="84">
        <f t="shared" si="598"/>
        <v>2000</v>
      </c>
      <c r="E1030" s="45">
        <f t="shared" si="599"/>
        <v>996.00000000004366</v>
      </c>
      <c r="F1030" s="45">
        <f t="shared" ref="F1030" si="695">(Z1031-Z1030)*1</f>
        <v>107</v>
      </c>
      <c r="G1030" s="79">
        <f t="shared" ref="G1030" si="696">C1030+D1030+F1030+E1030</f>
        <v>5024.0000000000437</v>
      </c>
      <c r="H1030" s="199">
        <v>3982</v>
      </c>
      <c r="I1030" s="199">
        <v>1130</v>
      </c>
      <c r="J1030" s="200">
        <f t="shared" si="655"/>
        <v>5112</v>
      </c>
      <c r="K1030" s="201">
        <f t="shared" si="656"/>
        <v>87.999999999956344</v>
      </c>
      <c r="L1030" s="254">
        <v>389</v>
      </c>
      <c r="M1030" s="249">
        <v>0.47916666666666669</v>
      </c>
      <c r="N1030" s="235">
        <v>193837</v>
      </c>
      <c r="O1030" s="235">
        <v>100702</v>
      </c>
      <c r="P1030" s="235">
        <v>9140</v>
      </c>
      <c r="Q1030" s="235"/>
      <c r="R1030" s="235">
        <v>37733</v>
      </c>
      <c r="S1030" s="236">
        <v>8729.4</v>
      </c>
      <c r="T1030" s="236"/>
      <c r="U1030" s="236"/>
      <c r="V1030" s="235">
        <v>253056</v>
      </c>
      <c r="W1030" s="235">
        <v>119625</v>
      </c>
      <c r="X1030" s="235">
        <v>97147</v>
      </c>
      <c r="Y1030" s="235">
        <v>92778</v>
      </c>
      <c r="Z1030" s="235">
        <v>181536</v>
      </c>
    </row>
    <row r="1031" spans="1:26" ht="18" hidden="1" customHeight="1" x14ac:dyDescent="0.2">
      <c r="A1031" s="47">
        <f t="shared" si="642"/>
        <v>43882</v>
      </c>
      <c r="B1031" s="47" t="str">
        <f t="shared" si="602"/>
        <v>五</v>
      </c>
      <c r="C1031" s="48">
        <f t="shared" ref="C1031:C1033" si="697">(V1032-V1031)*1+(W1032-W1031)*32+(X1032-X1031)*12+(Y1032-Y1031)*6</f>
        <v>0</v>
      </c>
      <c r="D1031" s="84">
        <f t="shared" si="598"/>
        <v>0</v>
      </c>
      <c r="E1031" s="45">
        <f t="shared" si="599"/>
        <v>0</v>
      </c>
      <c r="F1031" s="45">
        <f t="shared" ref="F1031:F1033" si="698">(Z1032-Z1031)*1</f>
        <v>0</v>
      </c>
      <c r="G1031" s="79">
        <f t="shared" ref="G1031:G1033" si="699">C1031+D1031+F1031+E1031</f>
        <v>0</v>
      </c>
      <c r="H1031" s="199">
        <v>3968</v>
      </c>
      <c r="I1031" s="199">
        <v>1029</v>
      </c>
      <c r="J1031" s="200">
        <f t="shared" si="655"/>
        <v>4997</v>
      </c>
      <c r="K1031" s="201">
        <f t="shared" si="656"/>
        <v>4997</v>
      </c>
      <c r="L1031" s="254">
        <v>387</v>
      </c>
      <c r="M1031" s="249">
        <v>0.57291666666666663</v>
      </c>
      <c r="N1031" s="235">
        <v>194077</v>
      </c>
      <c r="O1031" s="235">
        <v>100791</v>
      </c>
      <c r="P1031" s="235">
        <v>9150</v>
      </c>
      <c r="Q1031" s="235"/>
      <c r="R1031" s="235">
        <v>37757</v>
      </c>
      <c r="S1031" s="236">
        <v>8737.5</v>
      </c>
      <c r="T1031" s="236"/>
      <c r="U1031" s="236"/>
      <c r="V1031" s="235">
        <v>253221</v>
      </c>
      <c r="W1031" s="235">
        <v>119654</v>
      </c>
      <c r="X1031" s="235">
        <v>97216</v>
      </c>
      <c r="Y1031" s="235">
        <v>92778</v>
      </c>
      <c r="Z1031" s="235">
        <v>181643</v>
      </c>
    </row>
    <row r="1032" spans="1:26" ht="18" hidden="1" customHeight="1" x14ac:dyDescent="0.2">
      <c r="A1032" s="47">
        <f t="shared" si="642"/>
        <v>43883</v>
      </c>
      <c r="B1032" s="47" t="str">
        <f t="shared" si="602"/>
        <v>六</v>
      </c>
      <c r="C1032" s="48">
        <f t="shared" si="697"/>
        <v>0</v>
      </c>
      <c r="D1032" s="84">
        <f t="shared" si="598"/>
        <v>0</v>
      </c>
      <c r="E1032" s="45">
        <f t="shared" si="599"/>
        <v>0</v>
      </c>
      <c r="F1032" s="45">
        <f t="shared" si="698"/>
        <v>0</v>
      </c>
      <c r="G1032" s="79">
        <f t="shared" si="699"/>
        <v>0</v>
      </c>
      <c r="H1032" s="199">
        <v>0</v>
      </c>
      <c r="I1032" s="199">
        <f>1976+708</f>
        <v>2684</v>
      </c>
      <c r="J1032" s="200">
        <f t="shared" si="655"/>
        <v>2684</v>
      </c>
      <c r="K1032" s="201">
        <f t="shared" si="656"/>
        <v>2684</v>
      </c>
      <c r="L1032" s="254">
        <v>199</v>
      </c>
      <c r="M1032" s="249">
        <v>0.4375</v>
      </c>
      <c r="N1032" s="153">
        <v>194077</v>
      </c>
      <c r="O1032" s="153">
        <v>100791</v>
      </c>
      <c r="P1032" s="153">
        <v>9150</v>
      </c>
      <c r="Q1032" s="153"/>
      <c r="R1032" s="153">
        <v>37757</v>
      </c>
      <c r="S1032" s="154">
        <v>8737.5</v>
      </c>
      <c r="T1032" s="154"/>
      <c r="U1032" s="154"/>
      <c r="V1032" s="153">
        <v>253221</v>
      </c>
      <c r="W1032" s="153">
        <v>119654</v>
      </c>
      <c r="X1032" s="153">
        <v>97216</v>
      </c>
      <c r="Y1032" s="153">
        <v>92778</v>
      </c>
      <c r="Z1032" s="153">
        <v>181643</v>
      </c>
    </row>
    <row r="1033" spans="1:26" ht="18" hidden="1" customHeight="1" x14ac:dyDescent="0.2">
      <c r="A1033" s="47">
        <f t="shared" si="642"/>
        <v>43884</v>
      </c>
      <c r="B1033" s="47" t="str">
        <f t="shared" si="602"/>
        <v>日</v>
      </c>
      <c r="C1033" s="48">
        <f t="shared" si="697"/>
        <v>2779</v>
      </c>
      <c r="D1033" s="84">
        <f t="shared" si="598"/>
        <v>4024</v>
      </c>
      <c r="E1033" s="45">
        <f t="shared" si="599"/>
        <v>3028.0000000000437</v>
      </c>
      <c r="F1033" s="45">
        <f t="shared" si="698"/>
        <v>337</v>
      </c>
      <c r="G1033" s="79">
        <f t="shared" si="699"/>
        <v>10168.000000000044</v>
      </c>
      <c r="H1033" s="199">
        <v>0</v>
      </c>
      <c r="I1033" s="199">
        <v>2939</v>
      </c>
      <c r="J1033" s="200">
        <f t="shared" si="655"/>
        <v>2939</v>
      </c>
      <c r="K1033" s="201">
        <f t="shared" si="656"/>
        <v>-7229.0000000000437</v>
      </c>
      <c r="L1033" s="254">
        <v>191</v>
      </c>
      <c r="M1033" s="249">
        <v>0.69791666666666663</v>
      </c>
      <c r="N1033" s="153">
        <v>194077</v>
      </c>
      <c r="O1033" s="153">
        <v>100791</v>
      </c>
      <c r="P1033" s="153">
        <v>9150</v>
      </c>
      <c r="Q1033" s="153"/>
      <c r="R1033" s="153">
        <v>37757</v>
      </c>
      <c r="S1033" s="154">
        <v>8737.5</v>
      </c>
      <c r="T1033" s="154"/>
      <c r="U1033" s="154"/>
      <c r="V1033" s="153">
        <v>253221</v>
      </c>
      <c r="W1033" s="153">
        <v>119654</v>
      </c>
      <c r="X1033" s="153">
        <v>97216</v>
      </c>
      <c r="Y1033" s="153">
        <v>92778</v>
      </c>
      <c r="Z1033" s="153">
        <v>181643</v>
      </c>
    </row>
    <row r="1034" spans="1:26" ht="18" hidden="1" customHeight="1" x14ac:dyDescent="0.2">
      <c r="A1034" s="47">
        <f t="shared" si="642"/>
        <v>43885</v>
      </c>
      <c r="B1034" s="47" t="str">
        <f t="shared" si="602"/>
        <v>一</v>
      </c>
      <c r="C1034" s="48">
        <f t="shared" ref="C1034" si="700">(V1035-V1034)*1+(W1035-W1034)*32+(X1035-X1034)*12+(Y1035-Y1034)*6</f>
        <v>2075</v>
      </c>
      <c r="D1034" s="84">
        <f t="shared" si="598"/>
        <v>1960</v>
      </c>
      <c r="E1034" s="45">
        <f t="shared" si="599"/>
        <v>1078.9999999999127</v>
      </c>
      <c r="F1034" s="45">
        <f t="shared" ref="F1034" si="701">(Z1035-Z1034)*1</f>
        <v>87</v>
      </c>
      <c r="G1034" s="79">
        <f t="shared" ref="G1034" si="702">C1034+D1034+F1034+E1034</f>
        <v>5200.9999999999127</v>
      </c>
      <c r="H1034" s="199">
        <v>4243</v>
      </c>
      <c r="I1034" s="199">
        <v>1054</v>
      </c>
      <c r="J1034" s="200">
        <f t="shared" si="655"/>
        <v>5297</v>
      </c>
      <c r="K1034" s="201">
        <f t="shared" si="656"/>
        <v>96.000000000087311</v>
      </c>
      <c r="L1034" s="255">
        <v>414</v>
      </c>
      <c r="M1034" s="250">
        <v>0.42708333333333331</v>
      </c>
      <c r="N1034" s="235">
        <v>194557</v>
      </c>
      <c r="O1034" s="235">
        <v>100975</v>
      </c>
      <c r="P1034" s="235">
        <v>9173</v>
      </c>
      <c r="Q1034" s="235"/>
      <c r="R1034" s="235">
        <v>37833</v>
      </c>
      <c r="S1034" s="236">
        <v>8762.1</v>
      </c>
      <c r="T1034" s="236"/>
      <c r="U1034" s="236"/>
      <c r="V1034" s="235">
        <v>253624</v>
      </c>
      <c r="W1034" s="235">
        <v>119702</v>
      </c>
      <c r="X1034" s="235">
        <v>97286</v>
      </c>
      <c r="Y1034" s="235">
        <v>92778</v>
      </c>
      <c r="Z1034" s="235">
        <v>181980</v>
      </c>
    </row>
    <row r="1035" spans="1:26" ht="18" hidden="1" customHeight="1" x14ac:dyDescent="0.2">
      <c r="A1035" s="47">
        <f t="shared" si="642"/>
        <v>43886</v>
      </c>
      <c r="B1035" s="47" t="str">
        <f t="shared" si="602"/>
        <v>二</v>
      </c>
      <c r="C1035" s="48">
        <f t="shared" ref="C1035" si="703">(V1036-V1035)*1+(W1036-W1035)*32+(X1036-X1035)*12+(Y1036-Y1035)*6</f>
        <v>2402</v>
      </c>
      <c r="D1035" s="84">
        <f t="shared" si="598"/>
        <v>1136</v>
      </c>
      <c r="E1035" s="45">
        <f t="shared" si="599"/>
        <v>904.00000000013097</v>
      </c>
      <c r="F1035" s="45">
        <f t="shared" ref="F1035" si="704">(Z1036-Z1035)*1</f>
        <v>85</v>
      </c>
      <c r="G1035" s="79">
        <f t="shared" ref="G1035" si="705">C1035+D1035+F1035+E1035</f>
        <v>4527.000000000131</v>
      </c>
      <c r="H1035" s="199">
        <v>4375</v>
      </c>
      <c r="I1035" s="199">
        <v>1063</v>
      </c>
      <c r="J1035" s="200">
        <f t="shared" si="655"/>
        <v>5438</v>
      </c>
      <c r="K1035" s="201">
        <f t="shared" si="656"/>
        <v>910.99999999986903</v>
      </c>
      <c r="L1035" s="254">
        <v>395</v>
      </c>
      <c r="M1035" s="249">
        <v>0.70833333333333337</v>
      </c>
      <c r="N1035" s="235">
        <v>194787</v>
      </c>
      <c r="O1035" s="235">
        <v>101064</v>
      </c>
      <c r="P1035" s="235">
        <v>9188</v>
      </c>
      <c r="Q1035" s="235"/>
      <c r="R1035" s="235">
        <v>37856</v>
      </c>
      <c r="S1035" s="236">
        <v>8770.9</v>
      </c>
      <c r="T1035" s="236"/>
      <c r="U1035" s="236"/>
      <c r="V1035" s="235">
        <v>253791</v>
      </c>
      <c r="W1035" s="235">
        <v>119732</v>
      </c>
      <c r="X1035" s="235">
        <v>97365</v>
      </c>
      <c r="Y1035" s="235">
        <v>92778</v>
      </c>
      <c r="Z1035" s="235">
        <v>182067</v>
      </c>
    </row>
    <row r="1036" spans="1:26" ht="18" hidden="1" customHeight="1" x14ac:dyDescent="0.2">
      <c r="A1036" s="47">
        <f t="shared" si="642"/>
        <v>43887</v>
      </c>
      <c r="B1036" s="47" t="str">
        <f t="shared" si="602"/>
        <v>三</v>
      </c>
      <c r="C1036" s="48">
        <f t="shared" ref="C1036" si="706">(V1037-V1036)*1+(W1037-W1036)*32+(X1037-X1036)*12+(Y1037-Y1036)*6</f>
        <v>2196</v>
      </c>
      <c r="D1036" s="84">
        <f t="shared" si="598"/>
        <v>2576</v>
      </c>
      <c r="E1036" s="45">
        <f t="shared" si="599"/>
        <v>816.99999999982538</v>
      </c>
      <c r="F1036" s="45">
        <f t="shared" ref="F1036" si="707">(Z1037-Z1036)*1</f>
        <v>83</v>
      </c>
      <c r="G1036" s="79">
        <f t="shared" ref="G1036" si="708">C1036+D1036+F1036+E1036</f>
        <v>5671.9999999998254</v>
      </c>
      <c r="H1036" s="199">
        <v>4107</v>
      </c>
      <c r="I1036" s="199">
        <v>1057</v>
      </c>
      <c r="J1036" s="200">
        <f t="shared" si="655"/>
        <v>5164</v>
      </c>
      <c r="K1036" s="201">
        <f t="shared" si="656"/>
        <v>-507.99999999982538</v>
      </c>
      <c r="L1036" s="255">
        <v>437</v>
      </c>
      <c r="M1036" s="250">
        <v>0.64583333333333337</v>
      </c>
      <c r="N1036" s="235">
        <v>194917</v>
      </c>
      <c r="O1036" s="235">
        <v>101150</v>
      </c>
      <c r="P1036" s="235">
        <v>9200</v>
      </c>
      <c r="Q1036" s="235"/>
      <c r="R1036" s="235">
        <v>37884</v>
      </c>
      <c r="S1036" s="236">
        <v>8778.2000000000007</v>
      </c>
      <c r="T1036" s="236"/>
      <c r="U1036" s="236"/>
      <c r="V1036" s="235">
        <v>253965</v>
      </c>
      <c r="W1036" s="235">
        <v>119769</v>
      </c>
      <c r="X1036" s="235">
        <v>97452</v>
      </c>
      <c r="Y1036" s="235">
        <v>92778</v>
      </c>
      <c r="Z1036" s="235">
        <v>182152</v>
      </c>
    </row>
    <row r="1037" spans="1:26" ht="18" hidden="1" customHeight="1" x14ac:dyDescent="0.2">
      <c r="A1037" s="47">
        <f t="shared" si="642"/>
        <v>43888</v>
      </c>
      <c r="B1037" s="47" t="str">
        <f t="shared" si="602"/>
        <v>四</v>
      </c>
      <c r="C1037" s="48">
        <f t="shared" ref="C1037:C1040" si="709">(V1038-V1037)*1+(W1038-W1037)*32+(X1038-X1037)*12+(Y1038-Y1037)*6</f>
        <v>0</v>
      </c>
      <c r="D1037" s="84">
        <f t="shared" si="598"/>
        <v>0</v>
      </c>
      <c r="E1037" s="45">
        <f t="shared" si="599"/>
        <v>0</v>
      </c>
      <c r="F1037" s="45">
        <f t="shared" ref="F1037:F1040" si="710">(Z1038-Z1037)*1</f>
        <v>0</v>
      </c>
      <c r="G1037" s="79">
        <f t="shared" ref="G1037:G1040" si="711">C1037+D1037+F1037+E1037</f>
        <v>0</v>
      </c>
      <c r="H1037" s="199">
        <v>3562</v>
      </c>
      <c r="I1037" s="199">
        <v>895</v>
      </c>
      <c r="J1037" s="200">
        <f t="shared" si="655"/>
        <v>4457</v>
      </c>
      <c r="K1037" s="201">
        <f t="shared" si="656"/>
        <v>4457</v>
      </c>
      <c r="L1037" s="254">
        <v>400</v>
      </c>
      <c r="M1037" s="249">
        <v>0.57291666666666663</v>
      </c>
      <c r="N1037" s="235">
        <v>195237</v>
      </c>
      <c r="O1037" s="235">
        <v>101234</v>
      </c>
      <c r="P1037" s="235">
        <v>9202</v>
      </c>
      <c r="Q1037" s="235"/>
      <c r="R1037" s="235">
        <v>37909</v>
      </c>
      <c r="S1037" s="236">
        <v>8784.7999999999993</v>
      </c>
      <c r="T1037" s="236"/>
      <c r="U1037" s="236"/>
      <c r="V1037" s="235">
        <v>254145</v>
      </c>
      <c r="W1037" s="235">
        <v>119802</v>
      </c>
      <c r="X1037" s="235">
        <v>97532</v>
      </c>
      <c r="Y1037" s="235">
        <v>92778</v>
      </c>
      <c r="Z1037" s="235">
        <v>182235</v>
      </c>
    </row>
    <row r="1038" spans="1:26" ht="18" hidden="1" customHeight="1" x14ac:dyDescent="0.2">
      <c r="A1038" s="56">
        <f t="shared" si="642"/>
        <v>43889</v>
      </c>
      <c r="B1038" s="56" t="str">
        <f t="shared" si="602"/>
        <v>五</v>
      </c>
      <c r="C1038" s="48">
        <f t="shared" si="709"/>
        <v>0</v>
      </c>
      <c r="D1038" s="84">
        <f t="shared" si="598"/>
        <v>0</v>
      </c>
      <c r="E1038" s="45">
        <f t="shared" si="599"/>
        <v>0</v>
      </c>
      <c r="F1038" s="45">
        <f t="shared" si="710"/>
        <v>0</v>
      </c>
      <c r="G1038" s="79">
        <f t="shared" si="711"/>
        <v>0</v>
      </c>
      <c r="H1038" s="199">
        <v>0</v>
      </c>
      <c r="I1038" s="199">
        <v>1541</v>
      </c>
      <c r="J1038" s="200">
        <f t="shared" si="655"/>
        <v>1541</v>
      </c>
      <c r="K1038" s="201">
        <f t="shared" si="656"/>
        <v>1541</v>
      </c>
      <c r="L1038" s="254">
        <v>140</v>
      </c>
      <c r="M1038" s="251" t="s">
        <v>149</v>
      </c>
      <c r="N1038" s="160">
        <v>195237</v>
      </c>
      <c r="O1038" s="160">
        <v>101234</v>
      </c>
      <c r="P1038" s="160">
        <v>9202</v>
      </c>
      <c r="Q1038" s="160"/>
      <c r="R1038" s="160">
        <v>37909</v>
      </c>
      <c r="S1038" s="161">
        <v>8784.7999999999993</v>
      </c>
      <c r="T1038" s="161"/>
      <c r="U1038" s="161"/>
      <c r="V1038" s="160">
        <v>254145</v>
      </c>
      <c r="W1038" s="160">
        <v>119802</v>
      </c>
      <c r="X1038" s="160">
        <v>97532</v>
      </c>
      <c r="Y1038" s="160">
        <v>92778</v>
      </c>
      <c r="Z1038" s="160">
        <v>182235</v>
      </c>
    </row>
    <row r="1039" spans="1:26" ht="18" hidden="1" customHeight="1" x14ac:dyDescent="0.2">
      <c r="A1039" s="56">
        <f t="shared" si="642"/>
        <v>43890</v>
      </c>
      <c r="B1039" s="56" t="str">
        <f t="shared" si="602"/>
        <v>六</v>
      </c>
      <c r="C1039" s="48">
        <f t="shared" si="709"/>
        <v>0</v>
      </c>
      <c r="D1039" s="84">
        <f t="shared" si="598"/>
        <v>0</v>
      </c>
      <c r="E1039" s="45">
        <f t="shared" si="599"/>
        <v>0</v>
      </c>
      <c r="F1039" s="45">
        <f t="shared" si="710"/>
        <v>0</v>
      </c>
      <c r="G1039" s="79">
        <f t="shared" si="711"/>
        <v>0</v>
      </c>
      <c r="H1039" s="199">
        <v>0</v>
      </c>
      <c r="I1039" s="199">
        <f>1281+293</f>
        <v>1574</v>
      </c>
      <c r="J1039" s="200">
        <f t="shared" si="655"/>
        <v>1574</v>
      </c>
      <c r="K1039" s="201">
        <f t="shared" si="656"/>
        <v>1574</v>
      </c>
      <c r="L1039" s="254">
        <v>147</v>
      </c>
      <c r="M1039" s="249">
        <v>0.66666666666666663</v>
      </c>
      <c r="N1039" s="160">
        <v>195237</v>
      </c>
      <c r="O1039" s="160">
        <v>101234</v>
      </c>
      <c r="P1039" s="160">
        <v>9202</v>
      </c>
      <c r="Q1039" s="160"/>
      <c r="R1039" s="160">
        <v>37909</v>
      </c>
      <c r="S1039" s="161">
        <v>8784.7999999999993</v>
      </c>
      <c r="T1039" s="161"/>
      <c r="U1039" s="161"/>
      <c r="V1039" s="160">
        <v>254145</v>
      </c>
      <c r="W1039" s="160">
        <v>119802</v>
      </c>
      <c r="X1039" s="160">
        <v>97532</v>
      </c>
      <c r="Y1039" s="160">
        <v>92778</v>
      </c>
      <c r="Z1039" s="160">
        <v>182235</v>
      </c>
    </row>
    <row r="1040" spans="1:26" ht="18" hidden="1" customHeight="1" x14ac:dyDescent="0.2">
      <c r="A1040" s="56">
        <f t="shared" si="642"/>
        <v>43891</v>
      </c>
      <c r="B1040" s="56" t="str">
        <f t="shared" si="602"/>
        <v>日</v>
      </c>
      <c r="C1040" s="48">
        <f t="shared" si="709"/>
        <v>3152</v>
      </c>
      <c r="D1040" s="84">
        <f t="shared" si="598"/>
        <v>1992</v>
      </c>
      <c r="E1040" s="45">
        <f t="shared" si="599"/>
        <v>3733.000000000131</v>
      </c>
      <c r="F1040" s="45">
        <f t="shared" si="710"/>
        <v>357</v>
      </c>
      <c r="G1040" s="79">
        <f t="shared" si="711"/>
        <v>9234.000000000131</v>
      </c>
      <c r="H1040" s="199">
        <v>0</v>
      </c>
      <c r="I1040" s="199">
        <v>1975</v>
      </c>
      <c r="J1040" s="200">
        <f t="shared" ref="J1040:J1080" si="712">H1040+I1040</f>
        <v>1975</v>
      </c>
      <c r="K1040" s="201">
        <f t="shared" ref="K1040:K1080" si="713">J1040-G1040</f>
        <v>-7259.000000000131</v>
      </c>
      <c r="L1040" s="254">
        <v>149</v>
      </c>
      <c r="M1040" s="249">
        <v>0.57291666666666663</v>
      </c>
      <c r="N1040" s="262">
        <v>195237</v>
      </c>
      <c r="O1040" s="262">
        <v>101234</v>
      </c>
      <c r="P1040" s="262">
        <v>9202</v>
      </c>
      <c r="Q1040" s="262"/>
      <c r="R1040" s="262">
        <v>37909</v>
      </c>
      <c r="S1040" s="263">
        <v>8784.7999999999993</v>
      </c>
      <c r="T1040" s="263"/>
      <c r="U1040" s="263"/>
      <c r="V1040" s="262">
        <v>254145</v>
      </c>
      <c r="W1040" s="262">
        <v>119802</v>
      </c>
      <c r="X1040" s="262">
        <v>97532</v>
      </c>
      <c r="Y1040" s="262">
        <v>92778</v>
      </c>
      <c r="Z1040" s="262">
        <v>182235</v>
      </c>
    </row>
    <row r="1041" spans="1:26" ht="18" hidden="1" customHeight="1" x14ac:dyDescent="0.2">
      <c r="A1041" s="47">
        <f t="shared" si="642"/>
        <v>43892</v>
      </c>
      <c r="B1041" s="47" t="str">
        <f t="shared" si="602"/>
        <v>一</v>
      </c>
      <c r="C1041" s="48">
        <f t="shared" ref="C1041" si="714">(V1042-V1041)*1+(W1042-W1041)*32+(X1042-X1041)*12+(Y1042-Y1041)*6</f>
        <v>2181</v>
      </c>
      <c r="D1041" s="84">
        <f t="shared" si="598"/>
        <v>1784</v>
      </c>
      <c r="E1041" s="45">
        <f t="shared" si="599"/>
        <v>791.99999999995634</v>
      </c>
      <c r="F1041" s="45">
        <f t="shared" ref="F1041" si="715">(Z1042-Z1041)*1</f>
        <v>98</v>
      </c>
      <c r="G1041" s="79">
        <f t="shared" ref="G1041" si="716">C1041+D1041+F1041+E1041</f>
        <v>4854.9999999999563</v>
      </c>
      <c r="H1041" s="199">
        <v>4114</v>
      </c>
      <c r="I1041" s="199">
        <v>1000</v>
      </c>
      <c r="J1041" s="200">
        <f t="shared" si="712"/>
        <v>5114</v>
      </c>
      <c r="K1041" s="201">
        <f t="shared" si="713"/>
        <v>259.00000000004366</v>
      </c>
      <c r="L1041" s="254">
        <v>366</v>
      </c>
      <c r="M1041" s="249">
        <v>0.66666666666666663</v>
      </c>
      <c r="N1041" s="264">
        <v>195457</v>
      </c>
      <c r="O1041" s="264">
        <v>101317</v>
      </c>
      <c r="P1041" s="264">
        <v>9231</v>
      </c>
      <c r="Q1041" s="264"/>
      <c r="R1041" s="264">
        <v>38006</v>
      </c>
      <c r="S1041" s="265">
        <v>8815.1</v>
      </c>
      <c r="T1041" s="265"/>
      <c r="U1041" s="265"/>
      <c r="V1041" s="264">
        <v>254661</v>
      </c>
      <c r="W1041" s="264">
        <v>119857</v>
      </c>
      <c r="X1041" s="264">
        <v>97605</v>
      </c>
      <c r="Y1041" s="264">
        <v>92778</v>
      </c>
      <c r="Z1041" s="264">
        <v>182592</v>
      </c>
    </row>
    <row r="1042" spans="1:26" ht="18" hidden="1" customHeight="1" x14ac:dyDescent="0.2">
      <c r="A1042" s="47">
        <f t="shared" si="642"/>
        <v>43893</v>
      </c>
      <c r="B1042" s="47" t="str">
        <f t="shared" si="602"/>
        <v>二</v>
      </c>
      <c r="C1042" s="48">
        <f t="shared" ref="C1042" si="717">(V1043-V1042)*1+(W1043-W1042)*32+(X1043-X1042)*12+(Y1043-Y1042)*6</f>
        <v>2175</v>
      </c>
      <c r="D1042" s="84">
        <f t="shared" si="598"/>
        <v>1920</v>
      </c>
      <c r="E1042" s="45">
        <f t="shared" si="599"/>
        <v>731.99999999995634</v>
      </c>
      <c r="F1042" s="45">
        <f t="shared" ref="F1042" si="718">(Z1043-Z1042)*1</f>
        <v>75</v>
      </c>
      <c r="G1042" s="79">
        <f t="shared" ref="G1042" si="719">C1042+D1042+F1042+E1042</f>
        <v>4901.9999999999563</v>
      </c>
      <c r="H1042" s="199">
        <v>4033</v>
      </c>
      <c r="I1042" s="199">
        <v>1034</v>
      </c>
      <c r="J1042" s="200">
        <f t="shared" si="712"/>
        <v>5067</v>
      </c>
      <c r="K1042" s="201">
        <f t="shared" si="713"/>
        <v>165.00000000004366</v>
      </c>
      <c r="L1042" s="254">
        <v>373</v>
      </c>
      <c r="M1042" s="249">
        <v>0.65625</v>
      </c>
      <c r="N1042" s="264">
        <v>195667</v>
      </c>
      <c r="O1042" s="264">
        <v>101402</v>
      </c>
      <c r="P1042" s="264">
        <v>9244</v>
      </c>
      <c r="Q1042" s="264"/>
      <c r="R1042" s="264">
        <v>38030</v>
      </c>
      <c r="S1042" s="265">
        <v>8821.5</v>
      </c>
      <c r="T1042" s="265"/>
      <c r="U1042" s="265"/>
      <c r="V1042" s="264">
        <v>254826</v>
      </c>
      <c r="W1042" s="264">
        <v>119887</v>
      </c>
      <c r="X1042" s="264">
        <v>97693</v>
      </c>
      <c r="Y1042" s="264">
        <v>92778</v>
      </c>
      <c r="Z1042" s="264">
        <v>182690</v>
      </c>
    </row>
    <row r="1043" spans="1:26" ht="18" hidden="1" customHeight="1" x14ac:dyDescent="0.2">
      <c r="A1043" s="47">
        <f t="shared" si="642"/>
        <v>43894</v>
      </c>
      <c r="B1043" s="47" t="str">
        <f t="shared" si="602"/>
        <v>三</v>
      </c>
      <c r="C1043" s="48">
        <f t="shared" ref="C1043" si="720">(V1044-V1043)*1+(W1044-W1043)*32+(X1044-X1043)*12+(Y1044-Y1043)*6</f>
        <v>2394</v>
      </c>
      <c r="D1043" s="84">
        <f t="shared" si="598"/>
        <v>1920</v>
      </c>
      <c r="E1043" s="45">
        <f t="shared" si="599"/>
        <v>719.00000000013097</v>
      </c>
      <c r="F1043" s="45">
        <f t="shared" ref="F1043" si="721">(Z1044-Z1043)*1</f>
        <v>97</v>
      </c>
      <c r="G1043" s="79">
        <f t="shared" ref="G1043" si="722">C1043+D1043+F1043+E1043</f>
        <v>5130.000000000131</v>
      </c>
      <c r="H1043" s="199">
        <v>3995</v>
      </c>
      <c r="I1043" s="199">
        <v>1050</v>
      </c>
      <c r="J1043" s="200">
        <f t="shared" si="712"/>
        <v>5045</v>
      </c>
      <c r="K1043" s="201">
        <f t="shared" si="713"/>
        <v>-85.000000000130967</v>
      </c>
      <c r="L1043" s="254">
        <v>383</v>
      </c>
      <c r="M1043" s="249">
        <v>0.47916666666666669</v>
      </c>
      <c r="N1043" s="264">
        <v>195897</v>
      </c>
      <c r="O1043" s="264">
        <v>101485</v>
      </c>
      <c r="P1043" s="264">
        <v>9254</v>
      </c>
      <c r="Q1043" s="264"/>
      <c r="R1043" s="264">
        <v>38054</v>
      </c>
      <c r="S1043" s="265">
        <v>8827.4</v>
      </c>
      <c r="T1043" s="265"/>
      <c r="U1043" s="265"/>
      <c r="V1043" s="264">
        <v>255001</v>
      </c>
      <c r="W1043" s="264">
        <v>119915</v>
      </c>
      <c r="X1043" s="264">
        <v>97785</v>
      </c>
      <c r="Y1043" s="264">
        <v>92778</v>
      </c>
      <c r="Z1043" s="264">
        <v>182765</v>
      </c>
    </row>
    <row r="1044" spans="1:26" ht="18" hidden="1" customHeight="1" x14ac:dyDescent="0.2">
      <c r="A1044" s="47">
        <f t="shared" si="642"/>
        <v>43895</v>
      </c>
      <c r="B1044" s="47" t="str">
        <f t="shared" si="602"/>
        <v>四</v>
      </c>
      <c r="C1044" s="48">
        <f t="shared" ref="C1044" si="723">(V1045-V1044)*1+(W1045-W1044)*32+(X1045-X1044)*12+(Y1045-Y1044)*6</f>
        <v>2066</v>
      </c>
      <c r="D1044" s="84">
        <f t="shared" si="598"/>
        <v>3040</v>
      </c>
      <c r="E1044" s="45">
        <f t="shared" si="599"/>
        <v>731.99999999995634</v>
      </c>
      <c r="F1044" s="45">
        <f t="shared" ref="F1044" si="724">(Z1045-Z1044)*1</f>
        <v>151</v>
      </c>
      <c r="G1044" s="79">
        <f t="shared" ref="G1044" si="725">C1044+D1044+F1044+E1044</f>
        <v>5988.9999999999563</v>
      </c>
      <c r="H1044" s="199">
        <v>3736</v>
      </c>
      <c r="I1044" s="199">
        <v>994</v>
      </c>
      <c r="J1044" s="200">
        <f t="shared" si="712"/>
        <v>4730</v>
      </c>
      <c r="K1044" s="201">
        <f t="shared" si="713"/>
        <v>-1258.9999999999563</v>
      </c>
      <c r="L1044" s="254">
        <v>361</v>
      </c>
      <c r="M1044" s="249">
        <v>0.5</v>
      </c>
      <c r="N1044" s="264">
        <v>196127</v>
      </c>
      <c r="O1044" s="264">
        <v>101573</v>
      </c>
      <c r="P1044" s="264">
        <v>9264</v>
      </c>
      <c r="Q1044" s="264"/>
      <c r="R1044" s="264">
        <v>38077</v>
      </c>
      <c r="S1044" s="265">
        <v>8833.2000000000007</v>
      </c>
      <c r="T1044" s="265"/>
      <c r="U1044" s="265"/>
      <c r="V1044" s="264">
        <v>255171</v>
      </c>
      <c r="W1044" s="264">
        <v>119950</v>
      </c>
      <c r="X1044" s="264">
        <v>97877</v>
      </c>
      <c r="Y1044" s="264">
        <v>92778</v>
      </c>
      <c r="Z1044" s="264">
        <v>182862</v>
      </c>
    </row>
    <row r="1045" spans="1:26" ht="18" hidden="1" customHeight="1" x14ac:dyDescent="0.2">
      <c r="A1045" s="47">
        <f t="shared" si="642"/>
        <v>43896</v>
      </c>
      <c r="B1045" s="47" t="str">
        <f t="shared" si="602"/>
        <v>五</v>
      </c>
      <c r="C1045" s="48">
        <f t="shared" ref="C1045:C1047" si="726">(V1046-V1045)*1+(W1046-W1045)*32+(X1046-X1045)*12+(Y1046-Y1045)*6</f>
        <v>0</v>
      </c>
      <c r="D1045" s="84">
        <f t="shared" ref="D1045:D1108" si="727">(N1046-N1045)*8+(P1046-P1045)*8</f>
        <v>0</v>
      </c>
      <c r="E1045" s="45">
        <f t="shared" ref="E1045:E1108" si="728">(R1046-R1045)*1+(S1046-S1045)*120</f>
        <v>0</v>
      </c>
      <c r="F1045" s="45">
        <f t="shared" ref="F1045:F1047" si="729">(Z1046-Z1045)*1</f>
        <v>0</v>
      </c>
      <c r="G1045" s="79">
        <f t="shared" ref="G1045:G1047" si="730">C1045+D1045+F1045+E1045</f>
        <v>0</v>
      </c>
      <c r="H1045" s="199">
        <v>2775</v>
      </c>
      <c r="I1045" s="199">
        <v>823</v>
      </c>
      <c r="J1045" s="200">
        <f t="shared" si="712"/>
        <v>3598</v>
      </c>
      <c r="K1045" s="201">
        <f t="shared" si="713"/>
        <v>3598</v>
      </c>
      <c r="L1045" s="254">
        <v>330</v>
      </c>
      <c r="M1045" s="251" t="s">
        <v>151</v>
      </c>
      <c r="N1045" s="264">
        <v>196497</v>
      </c>
      <c r="O1045" s="264">
        <v>101635</v>
      </c>
      <c r="P1045" s="264">
        <v>9274</v>
      </c>
      <c r="Q1045" s="264"/>
      <c r="R1045" s="264">
        <v>38101</v>
      </c>
      <c r="S1045" s="265">
        <v>8839.1</v>
      </c>
      <c r="T1045" s="265"/>
      <c r="U1045" s="265"/>
      <c r="V1045" s="264">
        <v>255333</v>
      </c>
      <c r="W1045" s="264">
        <v>119978</v>
      </c>
      <c r="X1045" s="264">
        <v>97961</v>
      </c>
      <c r="Y1045" s="264">
        <v>92778</v>
      </c>
      <c r="Z1045" s="264">
        <v>183013</v>
      </c>
    </row>
    <row r="1046" spans="1:26" ht="18" hidden="1" customHeight="1" x14ac:dyDescent="0.2">
      <c r="A1046" s="47">
        <f t="shared" si="642"/>
        <v>43897</v>
      </c>
      <c r="B1046" s="47" t="str">
        <f t="shared" ref="B1046:B1109" si="731">B1039</f>
        <v>六</v>
      </c>
      <c r="C1046" s="48">
        <f t="shared" si="726"/>
        <v>0</v>
      </c>
      <c r="D1046" s="84">
        <f t="shared" si="727"/>
        <v>0</v>
      </c>
      <c r="E1046" s="45">
        <f t="shared" si="728"/>
        <v>0</v>
      </c>
      <c r="F1046" s="45">
        <f t="shared" si="729"/>
        <v>0</v>
      </c>
      <c r="G1046" s="79">
        <f t="shared" si="730"/>
        <v>0</v>
      </c>
      <c r="H1046" s="199">
        <v>0</v>
      </c>
      <c r="I1046" s="199">
        <f>1160+312</f>
        <v>1472</v>
      </c>
      <c r="J1046" s="200">
        <f t="shared" si="712"/>
        <v>1472</v>
      </c>
      <c r="K1046" s="201">
        <f t="shared" si="713"/>
        <v>1472</v>
      </c>
      <c r="L1046" s="254">
        <v>140</v>
      </c>
      <c r="M1046" s="249">
        <v>0.625</v>
      </c>
      <c r="N1046" s="266">
        <v>196497</v>
      </c>
      <c r="O1046" s="266">
        <v>101635</v>
      </c>
      <c r="P1046" s="266">
        <v>9274</v>
      </c>
      <c r="Q1046" s="266"/>
      <c r="R1046" s="266">
        <v>38101</v>
      </c>
      <c r="S1046" s="267">
        <v>8839.1</v>
      </c>
      <c r="T1046" s="267"/>
      <c r="U1046" s="267"/>
      <c r="V1046" s="266">
        <v>255333</v>
      </c>
      <c r="W1046" s="266">
        <v>119978</v>
      </c>
      <c r="X1046" s="266">
        <v>97961</v>
      </c>
      <c r="Y1046" s="266">
        <v>92778</v>
      </c>
      <c r="Z1046" s="266">
        <v>183013</v>
      </c>
    </row>
    <row r="1047" spans="1:26" ht="18" hidden="1" customHeight="1" x14ac:dyDescent="0.2">
      <c r="A1047" s="47">
        <f t="shared" si="642"/>
        <v>43898</v>
      </c>
      <c r="B1047" s="47" t="str">
        <f t="shared" si="731"/>
        <v>日</v>
      </c>
      <c r="C1047" s="48">
        <f t="shared" si="726"/>
        <v>2489</v>
      </c>
      <c r="D1047" s="84">
        <f t="shared" si="727"/>
        <v>1320</v>
      </c>
      <c r="E1047" s="45">
        <f t="shared" si="728"/>
        <v>2321.9999999999127</v>
      </c>
      <c r="F1047" s="45">
        <f t="shared" si="729"/>
        <v>323</v>
      </c>
      <c r="G1047" s="79">
        <f t="shared" si="730"/>
        <v>6453.9999999999127</v>
      </c>
      <c r="H1047" s="199">
        <v>0</v>
      </c>
      <c r="I1047" s="199">
        <v>1777</v>
      </c>
      <c r="J1047" s="200">
        <f t="shared" si="712"/>
        <v>1777</v>
      </c>
      <c r="K1047" s="201">
        <f t="shared" si="713"/>
        <v>-4676.9999999999127</v>
      </c>
      <c r="L1047" s="254">
        <v>151</v>
      </c>
      <c r="M1047" s="249">
        <v>0.67708333333333337</v>
      </c>
      <c r="N1047" s="266">
        <v>196497</v>
      </c>
      <c r="O1047" s="266">
        <v>101635</v>
      </c>
      <c r="P1047" s="266">
        <v>9274</v>
      </c>
      <c r="Q1047" s="266"/>
      <c r="R1047" s="266">
        <v>38101</v>
      </c>
      <c r="S1047" s="267">
        <v>8839.1</v>
      </c>
      <c r="T1047" s="267"/>
      <c r="U1047" s="267"/>
      <c r="V1047" s="266">
        <v>255333</v>
      </c>
      <c r="W1047" s="266">
        <v>119978</v>
      </c>
      <c r="X1047" s="266">
        <v>97961</v>
      </c>
      <c r="Y1047" s="266">
        <v>92778</v>
      </c>
      <c r="Z1047" s="266">
        <v>183013</v>
      </c>
    </row>
    <row r="1048" spans="1:26" ht="18" hidden="1" customHeight="1" x14ac:dyDescent="0.2">
      <c r="A1048" s="47">
        <f t="shared" si="642"/>
        <v>43899</v>
      </c>
      <c r="B1048" s="47" t="str">
        <f t="shared" si="731"/>
        <v>一</v>
      </c>
      <c r="C1048" s="48">
        <f t="shared" ref="C1048" si="732">(V1049-V1048)*1+(W1049-W1048)*32+(X1049-X1048)*12+(Y1049-Y1048)*6</f>
        <v>2264</v>
      </c>
      <c r="D1048" s="84">
        <f t="shared" si="727"/>
        <v>368</v>
      </c>
      <c r="E1048" s="45">
        <f t="shared" si="728"/>
        <v>893.00000000013097</v>
      </c>
      <c r="F1048" s="45">
        <f t="shared" ref="F1048" si="733">(Z1049-Z1048)*1</f>
        <v>88</v>
      </c>
      <c r="G1048" s="79">
        <f t="shared" ref="G1048" si="734">C1048+D1048+F1048+E1048</f>
        <v>3613.000000000131</v>
      </c>
      <c r="H1048" s="199">
        <v>3730</v>
      </c>
      <c r="I1048" s="199">
        <v>771</v>
      </c>
      <c r="J1048" s="200">
        <f t="shared" si="712"/>
        <v>4501</v>
      </c>
      <c r="K1048" s="201">
        <f t="shared" si="713"/>
        <v>887.99999999986903</v>
      </c>
      <c r="L1048" s="254">
        <v>353</v>
      </c>
      <c r="M1048" s="249">
        <v>0.69791666666666663</v>
      </c>
      <c r="N1048" s="264">
        <v>196647</v>
      </c>
      <c r="O1048" s="264">
        <v>101689</v>
      </c>
      <c r="P1048" s="264">
        <v>9289</v>
      </c>
      <c r="Q1048" s="264"/>
      <c r="R1048" s="264">
        <v>38167</v>
      </c>
      <c r="S1048" s="265">
        <v>8857.9</v>
      </c>
      <c r="T1048" s="265"/>
      <c r="U1048" s="265"/>
      <c r="V1048" s="264">
        <v>255730</v>
      </c>
      <c r="W1048" s="264">
        <v>120022</v>
      </c>
      <c r="X1048" s="264">
        <v>98018</v>
      </c>
      <c r="Y1048" s="264">
        <v>92778</v>
      </c>
      <c r="Z1048" s="264">
        <v>183336</v>
      </c>
    </row>
    <row r="1049" spans="1:26" ht="18" hidden="1" customHeight="1" x14ac:dyDescent="0.2">
      <c r="A1049" s="47">
        <f t="shared" si="642"/>
        <v>43900</v>
      </c>
      <c r="B1049" s="47" t="str">
        <f t="shared" si="731"/>
        <v>二</v>
      </c>
      <c r="C1049" s="48">
        <f t="shared" ref="C1049" si="735">(V1050-V1049)*1+(W1050-W1049)*32+(X1050-X1049)*12+(Y1050-Y1049)*6</f>
        <v>1830</v>
      </c>
      <c r="D1049" s="84">
        <f t="shared" si="727"/>
        <v>384</v>
      </c>
      <c r="E1049" s="45">
        <f t="shared" si="728"/>
        <v>818.99999999982538</v>
      </c>
      <c r="F1049" s="45">
        <f t="shared" ref="F1049" si="736">(Z1050-Z1049)*1</f>
        <v>120</v>
      </c>
      <c r="G1049" s="79">
        <f t="shared" ref="G1049" si="737">C1049+D1049+F1049+E1049</f>
        <v>3152.9999999998254</v>
      </c>
      <c r="H1049" s="199">
        <v>3299</v>
      </c>
      <c r="I1049" s="199">
        <v>815</v>
      </c>
      <c r="J1049" s="200">
        <f t="shared" si="712"/>
        <v>4114</v>
      </c>
      <c r="K1049" s="201">
        <f t="shared" si="713"/>
        <v>961.00000000017462</v>
      </c>
      <c r="L1049" s="254">
        <v>352</v>
      </c>
      <c r="M1049" s="249">
        <v>0.52083333333333337</v>
      </c>
      <c r="N1049" s="264">
        <v>196677</v>
      </c>
      <c r="O1049" s="264">
        <v>101742</v>
      </c>
      <c r="P1049" s="264">
        <v>9305</v>
      </c>
      <c r="Q1049" s="264"/>
      <c r="R1049" s="264">
        <v>38184</v>
      </c>
      <c r="S1049" s="265">
        <v>8865.2000000000007</v>
      </c>
      <c r="T1049" s="265"/>
      <c r="U1049" s="265"/>
      <c r="V1049" s="264">
        <v>255894</v>
      </c>
      <c r="W1049" s="264">
        <v>120055</v>
      </c>
      <c r="X1049" s="264">
        <v>98105</v>
      </c>
      <c r="Y1049" s="264">
        <v>92778</v>
      </c>
      <c r="Z1049" s="264">
        <v>183424</v>
      </c>
    </row>
    <row r="1050" spans="1:26" ht="18" hidden="1" customHeight="1" x14ac:dyDescent="0.2">
      <c r="A1050" s="47">
        <f t="shared" si="642"/>
        <v>43901</v>
      </c>
      <c r="B1050" s="47" t="str">
        <f t="shared" si="731"/>
        <v>三</v>
      </c>
      <c r="C1050" s="48">
        <f t="shared" ref="C1050" si="738">(V1051-V1050)*1+(W1051-W1050)*32+(X1051-X1050)*12+(Y1051-Y1050)*6</f>
        <v>1894</v>
      </c>
      <c r="D1050" s="84">
        <f t="shared" si="727"/>
        <v>1264</v>
      </c>
      <c r="E1050" s="45">
        <f t="shared" si="728"/>
        <v>633.00000000004366</v>
      </c>
      <c r="F1050" s="45">
        <f t="shared" ref="F1050" si="739">(Z1051-Z1050)*1</f>
        <v>124</v>
      </c>
      <c r="G1050" s="79">
        <f t="shared" ref="G1050" si="740">C1050+D1050+F1050+E1050</f>
        <v>3915.0000000000437</v>
      </c>
      <c r="H1050" s="199">
        <v>3200</v>
      </c>
      <c r="I1050" s="199">
        <v>866</v>
      </c>
      <c r="J1050" s="200">
        <f t="shared" si="712"/>
        <v>4066</v>
      </c>
      <c r="K1050" s="201">
        <f t="shared" si="713"/>
        <v>150.99999999995634</v>
      </c>
      <c r="L1050" s="254">
        <v>357</v>
      </c>
      <c r="M1050" s="249">
        <v>0.625</v>
      </c>
      <c r="N1050" s="264">
        <v>196717</v>
      </c>
      <c r="O1050" s="264">
        <v>101794</v>
      </c>
      <c r="P1050" s="264">
        <v>9313</v>
      </c>
      <c r="Q1050" s="264"/>
      <c r="R1050" s="264">
        <v>38211</v>
      </c>
      <c r="S1050" s="265">
        <v>8871.7999999999993</v>
      </c>
      <c r="T1050" s="265"/>
      <c r="U1050" s="265"/>
      <c r="V1050" s="264">
        <v>256056</v>
      </c>
      <c r="W1050" s="264">
        <v>120082</v>
      </c>
      <c r="X1050" s="264">
        <v>98172</v>
      </c>
      <c r="Y1050" s="264">
        <v>92778</v>
      </c>
      <c r="Z1050" s="264">
        <v>183544</v>
      </c>
    </row>
    <row r="1051" spans="1:26" ht="18" hidden="1" customHeight="1" x14ac:dyDescent="0.2">
      <c r="A1051" s="47">
        <f t="shared" si="642"/>
        <v>43902</v>
      </c>
      <c r="B1051" s="47" t="str">
        <f t="shared" si="731"/>
        <v>四</v>
      </c>
      <c r="C1051" s="48">
        <f t="shared" ref="C1051" si="741">(V1052-V1051)*1+(W1052-W1051)*32+(X1052-X1051)*12+(Y1052-Y1051)*6</f>
        <v>1731</v>
      </c>
      <c r="D1051" s="84">
        <f t="shared" si="727"/>
        <v>1280</v>
      </c>
      <c r="E1051" s="45">
        <f t="shared" si="728"/>
        <v>694.00000000004366</v>
      </c>
      <c r="F1051" s="45">
        <f t="shared" ref="F1051" si="742">(Z1052-Z1051)*1</f>
        <v>99</v>
      </c>
      <c r="G1051" s="79">
        <f t="shared" ref="G1051" si="743">C1051+D1051+F1051+E1051</f>
        <v>3804.0000000000437</v>
      </c>
      <c r="H1051" s="199">
        <v>3177</v>
      </c>
      <c r="I1051" s="199">
        <v>823</v>
      </c>
      <c r="J1051" s="200">
        <f t="shared" si="712"/>
        <v>4000</v>
      </c>
      <c r="K1051" s="201">
        <f t="shared" si="713"/>
        <v>195.99999999995634</v>
      </c>
      <c r="L1051" s="254">
        <v>359</v>
      </c>
      <c r="M1051" s="249">
        <v>0.65625</v>
      </c>
      <c r="N1051" s="264">
        <v>196867</v>
      </c>
      <c r="O1051" s="264">
        <v>101842</v>
      </c>
      <c r="P1051" s="264">
        <v>9321</v>
      </c>
      <c r="Q1051" s="264"/>
      <c r="R1051" s="264">
        <v>38232</v>
      </c>
      <c r="S1051" s="265">
        <v>8876.9</v>
      </c>
      <c r="T1051" s="265"/>
      <c r="U1051" s="265"/>
      <c r="V1051" s="264">
        <v>256210</v>
      </c>
      <c r="W1051" s="264">
        <v>120109</v>
      </c>
      <c r="X1051" s="264">
        <v>98245</v>
      </c>
      <c r="Y1051" s="264">
        <v>92778</v>
      </c>
      <c r="Z1051" s="264">
        <v>183668</v>
      </c>
    </row>
    <row r="1052" spans="1:26" ht="18" hidden="1" customHeight="1" x14ac:dyDescent="0.2">
      <c r="A1052" s="47">
        <f t="shared" si="642"/>
        <v>43903</v>
      </c>
      <c r="B1052" s="47" t="str">
        <f t="shared" si="731"/>
        <v>五</v>
      </c>
      <c r="C1052" s="48">
        <f t="shared" ref="C1052:C1054" si="744">(V1053-V1052)*1+(W1053-W1052)*32+(X1053-X1052)*12+(Y1053-Y1052)*6</f>
        <v>0</v>
      </c>
      <c r="D1052" s="84">
        <f t="shared" si="727"/>
        <v>0</v>
      </c>
      <c r="E1052" s="45">
        <f t="shared" si="728"/>
        <v>0</v>
      </c>
      <c r="F1052" s="45">
        <f t="shared" ref="F1052:F1054" si="745">(Z1053-Z1052)*1</f>
        <v>0</v>
      </c>
      <c r="G1052" s="79">
        <f t="shared" ref="G1052:G1054" si="746">C1052+D1052+F1052+E1052</f>
        <v>0</v>
      </c>
      <c r="H1052" s="199">
        <v>2731</v>
      </c>
      <c r="I1052" s="199">
        <v>752</v>
      </c>
      <c r="J1052" s="200">
        <f t="shared" si="712"/>
        <v>3483</v>
      </c>
      <c r="K1052" s="201">
        <f t="shared" si="713"/>
        <v>3483</v>
      </c>
      <c r="L1052" s="254">
        <v>323</v>
      </c>
      <c r="M1052" s="249">
        <v>0.53125</v>
      </c>
      <c r="N1052" s="264">
        <v>197017</v>
      </c>
      <c r="O1052" s="264">
        <v>101906</v>
      </c>
      <c r="P1052" s="264">
        <v>9331</v>
      </c>
      <c r="Q1052" s="264"/>
      <c r="R1052" s="264">
        <v>38254</v>
      </c>
      <c r="S1052" s="265">
        <v>8882.5</v>
      </c>
      <c r="T1052" s="265"/>
      <c r="U1052" s="265"/>
      <c r="V1052" s="264">
        <v>256377</v>
      </c>
      <c r="W1052" s="264">
        <v>120132</v>
      </c>
      <c r="X1052" s="264">
        <v>98314</v>
      </c>
      <c r="Y1052" s="264">
        <v>92778</v>
      </c>
      <c r="Z1052" s="264">
        <v>183767</v>
      </c>
    </row>
    <row r="1053" spans="1:26" ht="18" hidden="1" customHeight="1" x14ac:dyDescent="0.2">
      <c r="A1053" s="47">
        <f t="shared" si="642"/>
        <v>43904</v>
      </c>
      <c r="B1053" s="47" t="str">
        <f t="shared" si="731"/>
        <v>六</v>
      </c>
      <c r="C1053" s="48">
        <f t="shared" si="744"/>
        <v>0</v>
      </c>
      <c r="D1053" s="84">
        <f t="shared" si="727"/>
        <v>0</v>
      </c>
      <c r="E1053" s="45">
        <f t="shared" si="728"/>
        <v>0</v>
      </c>
      <c r="F1053" s="45">
        <f t="shared" si="745"/>
        <v>0</v>
      </c>
      <c r="G1053" s="79">
        <f t="shared" si="746"/>
        <v>0</v>
      </c>
      <c r="H1053" s="199">
        <v>0</v>
      </c>
      <c r="I1053" s="199">
        <f>1136+318</f>
        <v>1454</v>
      </c>
      <c r="J1053" s="200">
        <f t="shared" si="712"/>
        <v>1454</v>
      </c>
      <c r="K1053" s="201">
        <f t="shared" si="713"/>
        <v>1454</v>
      </c>
      <c r="L1053" s="254">
        <v>142</v>
      </c>
      <c r="M1053" s="249">
        <v>0.61458333333333337</v>
      </c>
      <c r="N1053" s="266">
        <v>197017</v>
      </c>
      <c r="O1053" s="266">
        <v>101906</v>
      </c>
      <c r="P1053" s="266">
        <v>9331</v>
      </c>
      <c r="Q1053" s="266"/>
      <c r="R1053" s="266">
        <v>38254</v>
      </c>
      <c r="S1053" s="267">
        <v>8882.5</v>
      </c>
      <c r="T1053" s="267"/>
      <c r="U1053" s="267"/>
      <c r="V1053" s="266">
        <v>256377</v>
      </c>
      <c r="W1053" s="266">
        <v>120132</v>
      </c>
      <c r="X1053" s="266">
        <v>98314</v>
      </c>
      <c r="Y1053" s="266">
        <v>92778</v>
      </c>
      <c r="Z1053" s="266">
        <v>183767</v>
      </c>
    </row>
    <row r="1054" spans="1:26" ht="18" hidden="1" customHeight="1" x14ac:dyDescent="0.2">
      <c r="A1054" s="47">
        <f t="shared" si="642"/>
        <v>43905</v>
      </c>
      <c r="B1054" s="47" t="str">
        <f t="shared" si="731"/>
        <v>日</v>
      </c>
      <c r="C1054" s="48">
        <f t="shared" si="744"/>
        <v>2621</v>
      </c>
      <c r="D1054" s="84">
        <f t="shared" si="727"/>
        <v>3728</v>
      </c>
      <c r="E1054" s="45">
        <f t="shared" si="728"/>
        <v>2152.9999999999563</v>
      </c>
      <c r="F1054" s="45">
        <f t="shared" si="745"/>
        <v>371</v>
      </c>
      <c r="G1054" s="79">
        <f t="shared" si="746"/>
        <v>8872.9999999999563</v>
      </c>
      <c r="H1054" s="199">
        <v>0</v>
      </c>
      <c r="I1054" s="199">
        <v>1763</v>
      </c>
      <c r="J1054" s="200">
        <f t="shared" si="712"/>
        <v>1763</v>
      </c>
      <c r="K1054" s="201">
        <f t="shared" si="713"/>
        <v>-7109.9999999999563</v>
      </c>
      <c r="L1054" s="254">
        <v>136</v>
      </c>
      <c r="M1054" s="249">
        <v>0.53125</v>
      </c>
      <c r="N1054" s="266">
        <v>197017</v>
      </c>
      <c r="O1054" s="266">
        <v>101906</v>
      </c>
      <c r="P1054" s="266">
        <v>9331</v>
      </c>
      <c r="Q1054" s="266"/>
      <c r="R1054" s="266">
        <v>38254</v>
      </c>
      <c r="S1054" s="267">
        <v>8882.5</v>
      </c>
      <c r="T1054" s="267"/>
      <c r="U1054" s="267"/>
      <c r="V1054" s="266">
        <v>256377</v>
      </c>
      <c r="W1054" s="266">
        <v>120132</v>
      </c>
      <c r="X1054" s="266">
        <v>98314</v>
      </c>
      <c r="Y1054" s="266">
        <v>92778</v>
      </c>
      <c r="Z1054" s="266">
        <v>183767</v>
      </c>
    </row>
    <row r="1055" spans="1:26" ht="18" hidden="1" customHeight="1" x14ac:dyDescent="0.2">
      <c r="A1055" s="47">
        <f t="shared" si="642"/>
        <v>43906</v>
      </c>
      <c r="B1055" s="47" t="str">
        <f t="shared" si="731"/>
        <v>一</v>
      </c>
      <c r="C1055" s="48">
        <f t="shared" ref="C1055" si="747">(V1056-V1055)*1+(W1056-W1055)*32+(X1056-X1055)*12+(Y1056-Y1055)*6</f>
        <v>1683</v>
      </c>
      <c r="D1055" s="84">
        <f t="shared" si="727"/>
        <v>488</v>
      </c>
      <c r="E1055" s="45">
        <f t="shared" si="728"/>
        <v>828.00000000008731</v>
      </c>
      <c r="F1055" s="45">
        <f t="shared" ref="F1055" si="748">(Z1056-Z1055)*1</f>
        <v>107</v>
      </c>
      <c r="G1055" s="79">
        <f t="shared" ref="G1055" si="749">C1055+D1055+F1055+E1055</f>
        <v>3106.0000000000873</v>
      </c>
      <c r="H1055" s="199">
        <v>3226</v>
      </c>
      <c r="I1055" s="199">
        <v>795</v>
      </c>
      <c r="J1055" s="200">
        <f t="shared" si="712"/>
        <v>4021</v>
      </c>
      <c r="K1055" s="201">
        <f t="shared" si="713"/>
        <v>914.99999999991269</v>
      </c>
      <c r="L1055" s="254">
        <v>363</v>
      </c>
      <c r="M1055" s="249">
        <v>0.47916666666666669</v>
      </c>
      <c r="N1055" s="264">
        <v>197467</v>
      </c>
      <c r="O1055" s="264">
        <v>101962</v>
      </c>
      <c r="P1055" s="264">
        <v>9347</v>
      </c>
      <c r="Q1055" s="264"/>
      <c r="R1055" s="264">
        <v>38319</v>
      </c>
      <c r="S1055" s="265">
        <v>8899.9</v>
      </c>
      <c r="T1055" s="265"/>
      <c r="U1055" s="265"/>
      <c r="V1055" s="264">
        <v>256770</v>
      </c>
      <c r="W1055" s="264">
        <v>120178</v>
      </c>
      <c r="X1055" s="264">
        <v>98377</v>
      </c>
      <c r="Y1055" s="264">
        <v>92778</v>
      </c>
      <c r="Z1055" s="264">
        <v>184138</v>
      </c>
    </row>
    <row r="1056" spans="1:26" ht="18" hidden="1" customHeight="1" x14ac:dyDescent="0.2">
      <c r="A1056" s="47">
        <f t="shared" si="642"/>
        <v>43907</v>
      </c>
      <c r="B1056" s="47" t="str">
        <f t="shared" si="731"/>
        <v>二</v>
      </c>
      <c r="C1056" s="48">
        <f t="shared" ref="C1056" si="750">(V1057-V1056)*1+(W1057-W1056)*32+(X1057-X1056)*12+(Y1057-Y1056)*6</f>
        <v>2136</v>
      </c>
      <c r="D1056" s="84">
        <f t="shared" si="727"/>
        <v>416</v>
      </c>
      <c r="E1056" s="45">
        <f t="shared" si="728"/>
        <v>1354.0000000000437</v>
      </c>
      <c r="F1056" s="45">
        <f t="shared" ref="F1056" si="751">(Z1057-Z1056)*1</f>
        <v>99</v>
      </c>
      <c r="G1056" s="79">
        <f t="shared" ref="G1056" si="752">C1056+D1056+F1056+E1056</f>
        <v>4005.0000000000437</v>
      </c>
      <c r="H1056" s="199">
        <v>3561</v>
      </c>
      <c r="I1056" s="199">
        <v>799</v>
      </c>
      <c r="J1056" s="200">
        <f t="shared" si="712"/>
        <v>4360</v>
      </c>
      <c r="K1056" s="201">
        <f t="shared" si="713"/>
        <v>354.99999999995634</v>
      </c>
      <c r="L1056" s="254">
        <v>353</v>
      </c>
      <c r="M1056" s="249" t="s">
        <v>152</v>
      </c>
      <c r="N1056" s="264">
        <v>197517</v>
      </c>
      <c r="O1056" s="264">
        <v>102017</v>
      </c>
      <c r="P1056" s="264">
        <v>9358</v>
      </c>
      <c r="Q1056" s="264"/>
      <c r="R1056" s="264">
        <v>38343</v>
      </c>
      <c r="S1056" s="265">
        <v>8906.6</v>
      </c>
      <c r="T1056" s="265"/>
      <c r="U1056" s="265"/>
      <c r="V1056" s="264">
        <v>256929</v>
      </c>
      <c r="W1056" s="264">
        <v>120202</v>
      </c>
      <c r="X1056" s="264">
        <v>98440</v>
      </c>
      <c r="Y1056" s="264">
        <v>92778</v>
      </c>
      <c r="Z1056" s="264">
        <v>184245</v>
      </c>
    </row>
    <row r="1057" spans="1:26" ht="18" hidden="1" customHeight="1" x14ac:dyDescent="0.2">
      <c r="A1057" s="47">
        <f t="shared" si="642"/>
        <v>43908</v>
      </c>
      <c r="B1057" s="47" t="str">
        <f t="shared" si="731"/>
        <v>三</v>
      </c>
      <c r="C1057" s="48">
        <f t="shared" ref="C1057" si="753">(V1058-V1057)*1+(W1058-W1057)*32+(X1058-X1057)*12+(Y1058-Y1057)*6</f>
        <v>1858</v>
      </c>
      <c r="D1057" s="84">
        <f t="shared" si="727"/>
        <v>528</v>
      </c>
      <c r="E1057" s="45">
        <f t="shared" si="728"/>
        <v>548.99999999995634</v>
      </c>
      <c r="F1057" s="45">
        <f t="shared" ref="F1057" si="754">(Z1058-Z1057)*1</f>
        <v>93</v>
      </c>
      <c r="G1057" s="79">
        <f t="shared" ref="G1057" si="755">C1057+D1057+F1057+E1057</f>
        <v>3027.9999999999563</v>
      </c>
      <c r="H1057" s="199">
        <v>3079</v>
      </c>
      <c r="I1057" s="199">
        <v>828</v>
      </c>
      <c r="J1057" s="200">
        <f t="shared" si="712"/>
        <v>3907</v>
      </c>
      <c r="K1057" s="201">
        <f t="shared" si="713"/>
        <v>879.00000000004366</v>
      </c>
      <c r="L1057" s="254">
        <v>337</v>
      </c>
      <c r="M1057" s="249">
        <v>0.46875</v>
      </c>
      <c r="N1057" s="264">
        <v>197557</v>
      </c>
      <c r="O1057" s="264">
        <v>102074</v>
      </c>
      <c r="P1057" s="264">
        <v>9370</v>
      </c>
      <c r="Q1057" s="264"/>
      <c r="R1057" s="264">
        <v>38965</v>
      </c>
      <c r="S1057" s="265">
        <v>8912.7000000000007</v>
      </c>
      <c r="T1057" s="265"/>
      <c r="U1057" s="265"/>
      <c r="V1057" s="264">
        <v>257089</v>
      </c>
      <c r="W1057" s="264">
        <v>120233</v>
      </c>
      <c r="X1057" s="264">
        <v>98522</v>
      </c>
      <c r="Y1057" s="264">
        <v>92778</v>
      </c>
      <c r="Z1057" s="264">
        <v>184344</v>
      </c>
    </row>
    <row r="1058" spans="1:26" ht="18" hidden="1" customHeight="1" x14ac:dyDescent="0.2">
      <c r="A1058" s="47">
        <f t="shared" si="642"/>
        <v>43909</v>
      </c>
      <c r="B1058" s="47" t="str">
        <f t="shared" si="731"/>
        <v>四</v>
      </c>
      <c r="C1058" s="48">
        <f t="shared" ref="C1058" si="756">(V1059-V1058)*1+(W1059-W1058)*32+(X1059-X1058)*12+(Y1059-Y1058)*6</f>
        <v>2070</v>
      </c>
      <c r="D1058" s="84">
        <f t="shared" si="727"/>
        <v>488</v>
      </c>
      <c r="E1058" s="45">
        <f t="shared" si="728"/>
        <v>93.000000000043656</v>
      </c>
      <c r="F1058" s="45">
        <f t="shared" ref="F1058" si="757">(Z1059-Z1058)*1</f>
        <v>109</v>
      </c>
      <c r="G1058" s="79">
        <f t="shared" ref="G1058" si="758">C1058+D1058+F1058+E1058</f>
        <v>2760.0000000000437</v>
      </c>
      <c r="H1058" s="199">
        <v>3450</v>
      </c>
      <c r="I1058" s="199">
        <v>833</v>
      </c>
      <c r="J1058" s="200">
        <f t="shared" si="712"/>
        <v>4283</v>
      </c>
      <c r="K1058" s="201">
        <f t="shared" si="713"/>
        <v>1522.9999999999563</v>
      </c>
      <c r="L1058" s="254">
        <v>362</v>
      </c>
      <c r="M1058" s="249">
        <v>0.57291666666666663</v>
      </c>
      <c r="N1058" s="264">
        <v>197617</v>
      </c>
      <c r="O1058" s="264">
        <v>102131</v>
      </c>
      <c r="P1058" s="264">
        <v>9376</v>
      </c>
      <c r="Q1058" s="264"/>
      <c r="R1058" s="264">
        <v>38986</v>
      </c>
      <c r="S1058" s="265">
        <v>8917.1</v>
      </c>
      <c r="T1058" s="265"/>
      <c r="U1058" s="265"/>
      <c r="V1058" s="264">
        <v>257255</v>
      </c>
      <c r="W1058" s="264">
        <v>120260</v>
      </c>
      <c r="X1058" s="264">
        <v>98591</v>
      </c>
      <c r="Y1058" s="264">
        <v>92778</v>
      </c>
      <c r="Z1058" s="264">
        <v>184437</v>
      </c>
    </row>
    <row r="1059" spans="1:26" ht="18" hidden="1" customHeight="1" x14ac:dyDescent="0.2">
      <c r="A1059" s="47">
        <f t="shared" si="642"/>
        <v>43910</v>
      </c>
      <c r="B1059" s="47" t="str">
        <f t="shared" si="731"/>
        <v>五</v>
      </c>
      <c r="C1059" s="48">
        <f t="shared" ref="C1059:C1061" si="759">(V1060-V1059)*1+(W1060-W1059)*32+(X1060-X1059)*12+(Y1060-Y1059)*6</f>
        <v>0</v>
      </c>
      <c r="D1059" s="84">
        <f t="shared" si="727"/>
        <v>0</v>
      </c>
      <c r="E1059" s="45">
        <f t="shared" si="728"/>
        <v>0</v>
      </c>
      <c r="F1059" s="45">
        <f t="shared" ref="F1059:F1061" si="760">(Z1060-Z1059)*1</f>
        <v>0</v>
      </c>
      <c r="G1059" s="79">
        <f t="shared" ref="G1059:G1061" si="761">C1059+D1059+F1059+E1059</f>
        <v>0</v>
      </c>
      <c r="H1059" s="199">
        <v>2390</v>
      </c>
      <c r="I1059" s="199">
        <v>758</v>
      </c>
      <c r="J1059" s="200">
        <f t="shared" si="712"/>
        <v>3148</v>
      </c>
      <c r="K1059" s="201">
        <f t="shared" si="713"/>
        <v>3148</v>
      </c>
      <c r="L1059" s="254">
        <v>332</v>
      </c>
      <c r="M1059" s="249">
        <v>0.46875</v>
      </c>
      <c r="N1059" s="264">
        <v>197667</v>
      </c>
      <c r="O1059" s="264">
        <v>102189</v>
      </c>
      <c r="P1059" s="264">
        <v>9387</v>
      </c>
      <c r="Q1059" s="264"/>
      <c r="R1059" s="264">
        <v>38407</v>
      </c>
      <c r="S1059" s="265">
        <v>8922.7000000000007</v>
      </c>
      <c r="T1059" s="265"/>
      <c r="U1059" s="265"/>
      <c r="V1059" s="264">
        <v>257421</v>
      </c>
      <c r="W1059" s="264">
        <v>120291</v>
      </c>
      <c r="X1059" s="264">
        <v>98667</v>
      </c>
      <c r="Y1059" s="264">
        <v>92778</v>
      </c>
      <c r="Z1059" s="264">
        <v>184546</v>
      </c>
    </row>
    <row r="1060" spans="1:26" ht="18" hidden="1" customHeight="1" x14ac:dyDescent="0.2">
      <c r="A1060" s="47">
        <f t="shared" si="642"/>
        <v>43911</v>
      </c>
      <c r="B1060" s="47" t="str">
        <f t="shared" si="731"/>
        <v>六</v>
      </c>
      <c r="C1060" s="48">
        <f t="shared" si="759"/>
        <v>0</v>
      </c>
      <c r="D1060" s="84">
        <f t="shared" si="727"/>
        <v>0</v>
      </c>
      <c r="E1060" s="45">
        <f t="shared" si="728"/>
        <v>0</v>
      </c>
      <c r="F1060" s="45">
        <f t="shared" si="760"/>
        <v>0</v>
      </c>
      <c r="G1060" s="79">
        <f t="shared" si="761"/>
        <v>0</v>
      </c>
      <c r="H1060" s="199">
        <v>0</v>
      </c>
      <c r="I1060" s="199">
        <v>291</v>
      </c>
      <c r="J1060" s="200">
        <f t="shared" si="712"/>
        <v>291</v>
      </c>
      <c r="K1060" s="201">
        <f t="shared" si="713"/>
        <v>291</v>
      </c>
      <c r="L1060" s="254">
        <v>147</v>
      </c>
      <c r="M1060" s="249">
        <v>0.52083333333333337</v>
      </c>
      <c r="N1060" s="266">
        <v>197667</v>
      </c>
      <c r="O1060" s="266">
        <v>102189</v>
      </c>
      <c r="P1060" s="266">
        <v>9387</v>
      </c>
      <c r="Q1060" s="266"/>
      <c r="R1060" s="266">
        <v>38407</v>
      </c>
      <c r="S1060" s="267">
        <v>8922.7000000000007</v>
      </c>
      <c r="T1060" s="267"/>
      <c r="U1060" s="267"/>
      <c r="V1060" s="266">
        <v>257421</v>
      </c>
      <c r="W1060" s="266">
        <v>120291</v>
      </c>
      <c r="X1060" s="266">
        <v>98667</v>
      </c>
      <c r="Y1060" s="266">
        <v>92778</v>
      </c>
      <c r="Z1060" s="266">
        <v>184546</v>
      </c>
    </row>
    <row r="1061" spans="1:26" ht="18" hidden="1" customHeight="1" x14ac:dyDescent="0.2">
      <c r="A1061" s="47">
        <f t="shared" si="642"/>
        <v>43912</v>
      </c>
      <c r="B1061" s="47" t="str">
        <f t="shared" si="731"/>
        <v>日</v>
      </c>
      <c r="C1061" s="48">
        <f t="shared" si="759"/>
        <v>2131</v>
      </c>
      <c r="D1061" s="84">
        <f t="shared" si="727"/>
        <v>1944</v>
      </c>
      <c r="E1061" s="45">
        <f t="shared" si="728"/>
        <v>1940.9999999998254</v>
      </c>
      <c r="F1061" s="45">
        <f t="shared" si="760"/>
        <v>244</v>
      </c>
      <c r="G1061" s="79">
        <f t="shared" si="761"/>
        <v>6259.9999999998254</v>
      </c>
      <c r="H1061" s="199">
        <v>0</v>
      </c>
      <c r="I1061" s="199">
        <v>1534</v>
      </c>
      <c r="J1061" s="200">
        <f t="shared" si="712"/>
        <v>1534</v>
      </c>
      <c r="K1061" s="201">
        <f t="shared" si="713"/>
        <v>-4725.9999999998254</v>
      </c>
      <c r="L1061" s="254">
        <v>132</v>
      </c>
      <c r="M1061" s="249">
        <v>0.52083333333333337</v>
      </c>
      <c r="N1061" s="266">
        <v>197667</v>
      </c>
      <c r="O1061" s="266">
        <v>102189</v>
      </c>
      <c r="P1061" s="266">
        <v>9387</v>
      </c>
      <c r="Q1061" s="266"/>
      <c r="R1061" s="266">
        <v>38407</v>
      </c>
      <c r="S1061" s="267">
        <v>8922.7000000000007</v>
      </c>
      <c r="T1061" s="267"/>
      <c r="U1061" s="267"/>
      <c r="V1061" s="266">
        <v>257421</v>
      </c>
      <c r="W1061" s="266">
        <v>120291</v>
      </c>
      <c r="X1061" s="266">
        <v>98667</v>
      </c>
      <c r="Y1061" s="266">
        <v>92778</v>
      </c>
      <c r="Z1061" s="266">
        <v>184546</v>
      </c>
    </row>
    <row r="1062" spans="1:26" ht="18" hidden="1" customHeight="1" x14ac:dyDescent="0.2">
      <c r="A1062" s="47">
        <f t="shared" si="642"/>
        <v>43913</v>
      </c>
      <c r="B1062" s="47" t="str">
        <f t="shared" si="731"/>
        <v>一</v>
      </c>
      <c r="C1062" s="48">
        <f t="shared" ref="C1062" si="762">(V1063-V1062)*1+(W1063-W1062)*32+(X1063-X1062)*12+(Y1063-Y1062)*6</f>
        <v>2321</v>
      </c>
      <c r="D1062" s="84">
        <f t="shared" si="727"/>
        <v>1208</v>
      </c>
      <c r="E1062" s="45">
        <f t="shared" si="728"/>
        <v>814.00000000004366</v>
      </c>
      <c r="F1062" s="45">
        <f t="shared" ref="F1062" si="763">(Z1063-Z1062)*1</f>
        <v>84</v>
      </c>
      <c r="G1062" s="79">
        <f t="shared" ref="G1062" si="764">C1062+D1062+F1062+E1062</f>
        <v>4427.0000000000437</v>
      </c>
      <c r="H1062" s="199">
        <v>3583</v>
      </c>
      <c r="I1062" s="199">
        <v>782</v>
      </c>
      <c r="J1062" s="200">
        <f t="shared" si="712"/>
        <v>4365</v>
      </c>
      <c r="K1062" s="201">
        <f t="shared" si="713"/>
        <v>-62.000000000043656</v>
      </c>
      <c r="L1062" s="254">
        <v>361</v>
      </c>
      <c r="M1062" s="249">
        <v>0.625</v>
      </c>
      <c r="N1062" s="264">
        <v>197897</v>
      </c>
      <c r="O1062" s="264">
        <v>102247</v>
      </c>
      <c r="P1062" s="264">
        <v>9400</v>
      </c>
      <c r="Q1062" s="264"/>
      <c r="R1062" s="264">
        <v>38476</v>
      </c>
      <c r="S1062" s="265">
        <v>8938.2999999999993</v>
      </c>
      <c r="T1062" s="265"/>
      <c r="U1062" s="265"/>
      <c r="V1062" s="264">
        <v>257816</v>
      </c>
      <c r="W1062" s="264">
        <v>120331</v>
      </c>
      <c r="X1062" s="264">
        <v>98705</v>
      </c>
      <c r="Y1062" s="264">
        <v>92778</v>
      </c>
      <c r="Z1062" s="264">
        <v>184790</v>
      </c>
    </row>
    <row r="1063" spans="1:26" ht="18" hidden="1" customHeight="1" x14ac:dyDescent="0.2">
      <c r="A1063" s="47">
        <f t="shared" si="642"/>
        <v>43914</v>
      </c>
      <c r="B1063" s="47" t="str">
        <f t="shared" si="731"/>
        <v>二</v>
      </c>
      <c r="C1063" s="48">
        <f t="shared" ref="C1063" si="765">(V1064-V1063)*1+(W1064-W1063)*32+(X1064-X1063)*12+(Y1064-Y1063)*6</f>
        <v>1611</v>
      </c>
      <c r="D1063" s="84">
        <f t="shared" si="727"/>
        <v>624</v>
      </c>
      <c r="E1063" s="45">
        <f t="shared" si="728"/>
        <v>682</v>
      </c>
      <c r="F1063" s="45">
        <f t="shared" ref="F1063" si="766">(Z1064-Z1063)*1</f>
        <v>83</v>
      </c>
      <c r="G1063" s="79">
        <f t="shared" ref="G1063" si="767">C1063+D1063+F1063+E1063</f>
        <v>3000</v>
      </c>
      <c r="H1063" s="199">
        <v>2819</v>
      </c>
      <c r="I1063" s="199">
        <v>705</v>
      </c>
      <c r="J1063" s="200">
        <f t="shared" si="712"/>
        <v>3524</v>
      </c>
      <c r="K1063" s="201">
        <f t="shared" si="713"/>
        <v>524</v>
      </c>
      <c r="L1063" s="254">
        <v>332</v>
      </c>
      <c r="M1063" s="249">
        <v>0.57291666666666663</v>
      </c>
      <c r="N1063" s="264">
        <v>198037</v>
      </c>
      <c r="O1063" s="264">
        <v>102293</v>
      </c>
      <c r="P1063" s="264">
        <v>9411</v>
      </c>
      <c r="Q1063" s="264"/>
      <c r="R1063" s="264">
        <v>38498</v>
      </c>
      <c r="S1063" s="265">
        <v>8944.9</v>
      </c>
      <c r="T1063" s="265"/>
      <c r="U1063" s="265"/>
      <c r="V1063" s="264">
        <v>257977</v>
      </c>
      <c r="W1063" s="264">
        <v>120364</v>
      </c>
      <c r="X1063" s="264">
        <v>98797</v>
      </c>
      <c r="Y1063" s="264">
        <v>92778</v>
      </c>
      <c r="Z1063" s="264">
        <v>184874</v>
      </c>
    </row>
    <row r="1064" spans="1:26" ht="18" hidden="1" customHeight="1" x14ac:dyDescent="0.2">
      <c r="A1064" s="47">
        <f t="shared" ref="A1064:A1127" si="768">A1063+1</f>
        <v>43915</v>
      </c>
      <c r="B1064" s="47" t="str">
        <f t="shared" si="731"/>
        <v>三</v>
      </c>
      <c r="C1064" s="48">
        <f t="shared" ref="C1064" si="769">(V1065-V1064)*1+(W1065-W1064)*32+(X1065-X1064)*12+(Y1065-Y1064)*6</f>
        <v>2053</v>
      </c>
      <c r="D1064" s="84">
        <f t="shared" si="727"/>
        <v>960</v>
      </c>
      <c r="E1064" s="45">
        <f t="shared" si="728"/>
        <v>711.00000000008731</v>
      </c>
      <c r="F1064" s="45">
        <f t="shared" ref="F1064" si="770">(Z1065-Z1064)*1</f>
        <v>85</v>
      </c>
      <c r="G1064" s="79">
        <f t="shared" ref="G1064" si="771">C1064+D1064+F1064+E1064</f>
        <v>3809.0000000000873</v>
      </c>
      <c r="H1064" s="199">
        <v>3047</v>
      </c>
      <c r="I1064" s="199">
        <v>414</v>
      </c>
      <c r="J1064" s="200">
        <f t="shared" si="712"/>
        <v>3461</v>
      </c>
      <c r="K1064" s="201">
        <f t="shared" si="713"/>
        <v>-348.00000000008731</v>
      </c>
      <c r="L1064" s="254">
        <v>332</v>
      </c>
      <c r="M1064" s="249">
        <v>0.57291666666666663</v>
      </c>
      <c r="N1064" s="264">
        <v>198107</v>
      </c>
      <c r="O1064" s="264">
        <v>102304</v>
      </c>
      <c r="P1064" s="264">
        <v>9419</v>
      </c>
      <c r="Q1064" s="264"/>
      <c r="R1064" s="264">
        <v>38520</v>
      </c>
      <c r="S1064" s="265">
        <v>8950.4</v>
      </c>
      <c r="T1064" s="265"/>
      <c r="U1064" s="265"/>
      <c r="V1064" s="264">
        <v>258144</v>
      </c>
      <c r="W1064" s="264">
        <v>120390</v>
      </c>
      <c r="X1064" s="264">
        <v>98848</v>
      </c>
      <c r="Y1064" s="264">
        <v>92778</v>
      </c>
      <c r="Z1064" s="264">
        <v>184957</v>
      </c>
    </row>
    <row r="1065" spans="1:26" ht="18" hidden="1" customHeight="1" x14ac:dyDescent="0.2">
      <c r="A1065" s="47">
        <f t="shared" si="768"/>
        <v>43916</v>
      </c>
      <c r="B1065" s="47" t="str">
        <f t="shared" si="731"/>
        <v>四</v>
      </c>
      <c r="C1065" s="48">
        <f t="shared" ref="C1065" si="772">(V1066-V1065)*1+(W1066-W1065)*32+(X1066-X1065)*12+(Y1066-Y1065)*6</f>
        <v>2206</v>
      </c>
      <c r="D1065" s="84">
        <f t="shared" si="727"/>
        <v>688</v>
      </c>
      <c r="E1065" s="45">
        <f t="shared" si="728"/>
        <v>327.00000000004366</v>
      </c>
      <c r="F1065" s="45">
        <f t="shared" ref="F1065" si="773">(Z1066-Z1065)*1</f>
        <v>64</v>
      </c>
      <c r="G1065" s="79">
        <f t="shared" ref="G1065" si="774">C1065+D1065+F1065+E1065</f>
        <v>3285.0000000000437</v>
      </c>
      <c r="H1065" s="199">
        <v>3084</v>
      </c>
      <c r="I1065" s="199">
        <v>652</v>
      </c>
      <c r="J1065" s="200">
        <f t="shared" si="712"/>
        <v>3736</v>
      </c>
      <c r="K1065" s="201">
        <f t="shared" si="713"/>
        <v>450.99999999995634</v>
      </c>
      <c r="L1065" s="254">
        <v>323</v>
      </c>
      <c r="M1065" s="249">
        <v>0.47916666666666669</v>
      </c>
      <c r="N1065" s="264">
        <v>198217</v>
      </c>
      <c r="O1065" s="264">
        <v>102343</v>
      </c>
      <c r="P1065" s="264">
        <v>9429</v>
      </c>
      <c r="Q1065" s="264"/>
      <c r="R1065" s="264">
        <v>38547</v>
      </c>
      <c r="S1065" s="265">
        <v>8956.1</v>
      </c>
      <c r="T1065" s="265"/>
      <c r="U1065" s="265"/>
      <c r="V1065" s="264">
        <v>258313</v>
      </c>
      <c r="W1065" s="264">
        <v>120423</v>
      </c>
      <c r="X1065" s="264">
        <v>98917</v>
      </c>
      <c r="Y1065" s="264">
        <v>92778</v>
      </c>
      <c r="Z1065" s="264">
        <v>185042</v>
      </c>
    </row>
    <row r="1066" spans="1:26" ht="18" hidden="1" customHeight="1" x14ac:dyDescent="0.2">
      <c r="A1066" s="47">
        <f t="shared" si="768"/>
        <v>43917</v>
      </c>
      <c r="B1066" s="47" t="str">
        <f t="shared" si="731"/>
        <v>五</v>
      </c>
      <c r="C1066" s="48">
        <f t="shared" ref="C1066:C1068" si="775">(V1067-V1066)*1+(W1067-W1066)*32+(X1067-X1066)*12+(Y1067-Y1066)*6</f>
        <v>0</v>
      </c>
      <c r="D1066" s="84">
        <f t="shared" si="727"/>
        <v>0</v>
      </c>
      <c r="E1066" s="45">
        <f t="shared" si="728"/>
        <v>0</v>
      </c>
      <c r="F1066" s="45">
        <f t="shared" ref="F1066:F1068" si="776">(Z1067-Z1066)*1</f>
        <v>0</v>
      </c>
      <c r="G1066" s="79">
        <f t="shared" ref="G1066:G1068" si="777">C1066+D1066+F1066+E1066</f>
        <v>0</v>
      </c>
      <c r="H1066" s="199">
        <v>3066</v>
      </c>
      <c r="I1066" s="199">
        <v>578</v>
      </c>
      <c r="J1066" s="200">
        <f t="shared" si="712"/>
        <v>3644</v>
      </c>
      <c r="K1066" s="201">
        <f t="shared" si="713"/>
        <v>3644</v>
      </c>
      <c r="L1066" s="254">
        <v>323</v>
      </c>
      <c r="M1066" s="249">
        <v>0.55208333333333337</v>
      </c>
      <c r="N1066" s="264">
        <v>198297</v>
      </c>
      <c r="O1066" s="264">
        <v>102379</v>
      </c>
      <c r="P1066" s="264">
        <v>9435</v>
      </c>
      <c r="Q1066" s="264"/>
      <c r="R1066" s="264">
        <v>38562</v>
      </c>
      <c r="S1066" s="265">
        <v>8958.7000000000007</v>
      </c>
      <c r="T1066" s="265"/>
      <c r="U1066" s="265"/>
      <c r="V1066" s="264">
        <v>258483</v>
      </c>
      <c r="W1066" s="264">
        <v>120460</v>
      </c>
      <c r="X1066" s="264">
        <v>98988</v>
      </c>
      <c r="Y1066" s="264">
        <v>92778</v>
      </c>
      <c r="Z1066" s="264">
        <v>185106</v>
      </c>
    </row>
    <row r="1067" spans="1:26" ht="18" hidden="1" customHeight="1" x14ac:dyDescent="0.2">
      <c r="A1067" s="47">
        <f t="shared" si="768"/>
        <v>43918</v>
      </c>
      <c r="B1067" s="47" t="str">
        <f t="shared" si="731"/>
        <v>六</v>
      </c>
      <c r="C1067" s="48">
        <f t="shared" si="775"/>
        <v>0</v>
      </c>
      <c r="D1067" s="84">
        <f t="shared" si="727"/>
        <v>0</v>
      </c>
      <c r="E1067" s="45">
        <f t="shared" si="728"/>
        <v>0</v>
      </c>
      <c r="F1067" s="45">
        <f t="shared" si="776"/>
        <v>0</v>
      </c>
      <c r="G1067" s="79">
        <f t="shared" si="777"/>
        <v>0</v>
      </c>
      <c r="H1067" s="199">
        <v>0</v>
      </c>
      <c r="I1067" s="199">
        <f>786+287</f>
        <v>1073</v>
      </c>
      <c r="J1067" s="200">
        <f t="shared" si="712"/>
        <v>1073</v>
      </c>
      <c r="K1067" s="201">
        <f t="shared" si="713"/>
        <v>1073</v>
      </c>
      <c r="L1067" s="254">
        <v>125</v>
      </c>
      <c r="M1067" s="249">
        <v>0.54166666666666663</v>
      </c>
      <c r="N1067" s="266">
        <v>198297</v>
      </c>
      <c r="O1067" s="266">
        <v>102379</v>
      </c>
      <c r="P1067" s="266">
        <v>9435</v>
      </c>
      <c r="Q1067" s="266"/>
      <c r="R1067" s="266">
        <v>38562</v>
      </c>
      <c r="S1067" s="267">
        <v>8958.7000000000007</v>
      </c>
      <c r="T1067" s="267"/>
      <c r="U1067" s="267"/>
      <c r="V1067" s="266">
        <v>258483</v>
      </c>
      <c r="W1067" s="266">
        <v>120460</v>
      </c>
      <c r="X1067" s="266">
        <v>98988</v>
      </c>
      <c r="Y1067" s="266">
        <v>92778</v>
      </c>
      <c r="Z1067" s="266">
        <v>185106</v>
      </c>
    </row>
    <row r="1068" spans="1:26" ht="18" hidden="1" customHeight="1" x14ac:dyDescent="0.2">
      <c r="A1068" s="47">
        <f t="shared" si="768"/>
        <v>43919</v>
      </c>
      <c r="B1068" s="47" t="str">
        <f t="shared" si="731"/>
        <v>日</v>
      </c>
      <c r="C1068" s="48">
        <f t="shared" si="775"/>
        <v>3052</v>
      </c>
      <c r="D1068" s="84">
        <f t="shared" si="727"/>
        <v>400</v>
      </c>
      <c r="E1068" s="45">
        <f t="shared" si="728"/>
        <v>1984</v>
      </c>
      <c r="F1068" s="45">
        <f t="shared" si="776"/>
        <v>252</v>
      </c>
      <c r="G1068" s="79">
        <f t="shared" si="777"/>
        <v>5688</v>
      </c>
      <c r="H1068" s="199">
        <v>0</v>
      </c>
      <c r="I1068" s="199">
        <v>1420</v>
      </c>
      <c r="J1068" s="200">
        <f t="shared" si="712"/>
        <v>1420</v>
      </c>
      <c r="K1068" s="201">
        <f t="shared" si="713"/>
        <v>-4268</v>
      </c>
      <c r="L1068" s="254">
        <v>147</v>
      </c>
      <c r="M1068" s="249">
        <v>0.55208333333333337</v>
      </c>
      <c r="N1068" s="266">
        <v>198297</v>
      </c>
      <c r="O1068" s="266">
        <v>102379</v>
      </c>
      <c r="P1068" s="266">
        <v>9435</v>
      </c>
      <c r="Q1068" s="266"/>
      <c r="R1068" s="266">
        <v>38562</v>
      </c>
      <c r="S1068" s="267">
        <v>8958.7000000000007</v>
      </c>
      <c r="T1068" s="267"/>
      <c r="U1068" s="267"/>
      <c r="V1068" s="266">
        <v>258483</v>
      </c>
      <c r="W1068" s="266">
        <v>120460</v>
      </c>
      <c r="X1068" s="266">
        <v>98988</v>
      </c>
      <c r="Y1068" s="266">
        <v>92778</v>
      </c>
      <c r="Z1068" s="266">
        <v>185106</v>
      </c>
    </row>
    <row r="1069" spans="1:26" ht="18" hidden="1" customHeight="1" x14ac:dyDescent="0.2">
      <c r="A1069" s="47">
        <f t="shared" si="768"/>
        <v>43920</v>
      </c>
      <c r="B1069" s="47" t="str">
        <f t="shared" si="731"/>
        <v>一</v>
      </c>
      <c r="C1069" s="48">
        <f t="shared" ref="C1069" si="778">(V1070-V1069)*1+(W1070-W1069)*32+(X1070-X1069)*12+(Y1070-Y1069)*6</f>
        <v>1997</v>
      </c>
      <c r="D1069" s="84">
        <f t="shared" si="727"/>
        <v>24</v>
      </c>
      <c r="E1069" s="45">
        <f t="shared" si="728"/>
        <v>886.99999999986903</v>
      </c>
      <c r="F1069" s="45">
        <f t="shared" ref="F1069" si="779">(Z1070-Z1069)*1</f>
        <v>103</v>
      </c>
      <c r="G1069" s="79">
        <f t="shared" ref="G1069" si="780">C1069+D1069+F1069+E1069</f>
        <v>3010.999999999869</v>
      </c>
      <c r="H1069" s="199">
        <v>2799</v>
      </c>
      <c r="I1069" s="199">
        <v>327</v>
      </c>
      <c r="J1069" s="200">
        <f t="shared" si="712"/>
        <v>3126</v>
      </c>
      <c r="K1069" s="201">
        <f t="shared" si="713"/>
        <v>115.00000000013097</v>
      </c>
      <c r="L1069" s="254">
        <v>290</v>
      </c>
      <c r="M1069" s="249">
        <v>0.47916666666666669</v>
      </c>
      <c r="N1069" s="264">
        <v>198337</v>
      </c>
      <c r="O1069" s="264">
        <v>102384</v>
      </c>
      <c r="P1069" s="264">
        <v>9445</v>
      </c>
      <c r="Q1069" s="264"/>
      <c r="R1069" s="264">
        <v>38626</v>
      </c>
      <c r="S1069" s="265">
        <v>8974.7000000000007</v>
      </c>
      <c r="T1069" s="265"/>
      <c r="U1069" s="265"/>
      <c r="V1069" s="264">
        <v>258911</v>
      </c>
      <c r="W1069" s="264">
        <v>120515</v>
      </c>
      <c r="X1069" s="264">
        <v>99060</v>
      </c>
      <c r="Y1069" s="264">
        <v>92778</v>
      </c>
      <c r="Z1069" s="264">
        <v>185358</v>
      </c>
    </row>
    <row r="1070" spans="1:26" ht="18" hidden="1" customHeight="1" x14ac:dyDescent="0.2">
      <c r="A1070" s="47">
        <f t="shared" si="768"/>
        <v>43921</v>
      </c>
      <c r="B1070" s="47" t="str">
        <f t="shared" si="731"/>
        <v>二</v>
      </c>
      <c r="C1070" s="48">
        <f t="shared" ref="C1070" si="781">(V1071-V1070)*1+(W1071-W1070)*32+(X1071-X1070)*12+(Y1071-Y1070)*6</f>
        <v>2200</v>
      </c>
      <c r="D1070" s="84">
        <f t="shared" si="727"/>
        <v>56</v>
      </c>
      <c r="E1070" s="45">
        <f t="shared" si="728"/>
        <v>104.00000000008731</v>
      </c>
      <c r="F1070" s="45">
        <f t="shared" ref="F1070" si="782">(Z1071-Z1070)*1</f>
        <v>95</v>
      </c>
      <c r="G1070" s="79">
        <f t="shared" ref="G1070" si="783">C1070+D1070+F1070+E1070</f>
        <v>2455.0000000000873</v>
      </c>
      <c r="H1070" s="199">
        <v>2130</v>
      </c>
      <c r="I1070" s="199">
        <v>364</v>
      </c>
      <c r="J1070" s="200">
        <f t="shared" si="712"/>
        <v>2494</v>
      </c>
      <c r="K1070" s="201">
        <f t="shared" si="713"/>
        <v>38.999999999912689</v>
      </c>
      <c r="L1070" s="254">
        <v>195</v>
      </c>
      <c r="M1070" s="249">
        <v>0.67708333333333337</v>
      </c>
      <c r="N1070" s="264">
        <v>198337</v>
      </c>
      <c r="O1070" s="264">
        <v>102384</v>
      </c>
      <c r="P1070" s="264">
        <v>9448</v>
      </c>
      <c r="Q1070" s="264"/>
      <c r="R1070" s="264">
        <v>38649</v>
      </c>
      <c r="S1070" s="265">
        <v>8981.9</v>
      </c>
      <c r="T1070" s="265"/>
      <c r="U1070" s="265"/>
      <c r="V1070" s="264">
        <v>259080</v>
      </c>
      <c r="W1070" s="264">
        <v>120544</v>
      </c>
      <c r="X1070" s="264">
        <v>99135</v>
      </c>
      <c r="Y1070" s="264">
        <v>92778</v>
      </c>
      <c r="Z1070" s="264">
        <v>185461</v>
      </c>
    </row>
    <row r="1071" spans="1:26" ht="18" hidden="1" customHeight="1" x14ac:dyDescent="0.2">
      <c r="A1071" s="47">
        <f t="shared" si="768"/>
        <v>43922</v>
      </c>
      <c r="B1071" s="47" t="str">
        <f t="shared" si="731"/>
        <v>三</v>
      </c>
      <c r="C1071" s="48">
        <f t="shared" ref="C1071:C1075" si="784">(V1072-V1071)*1+(W1072-W1071)*32+(X1072-X1071)*12+(Y1072-Y1071)*6</f>
        <v>0</v>
      </c>
      <c r="D1071" s="84">
        <f t="shared" si="727"/>
        <v>0</v>
      </c>
      <c r="E1071" s="45">
        <f t="shared" si="728"/>
        <v>0</v>
      </c>
      <c r="F1071" s="45">
        <f t="shared" ref="F1071:F1075" si="785">(Z1072-Z1071)*1</f>
        <v>0</v>
      </c>
      <c r="G1071" s="79">
        <f t="shared" ref="G1071:G1075" si="786">C1071+D1071+F1071+E1071</f>
        <v>0</v>
      </c>
      <c r="H1071" s="199">
        <v>2658</v>
      </c>
      <c r="I1071" s="199">
        <v>366</v>
      </c>
      <c r="J1071" s="200">
        <f t="shared" si="712"/>
        <v>3024</v>
      </c>
      <c r="K1071" s="201">
        <f t="shared" si="713"/>
        <v>3024</v>
      </c>
      <c r="L1071" s="254">
        <v>287</v>
      </c>
      <c r="M1071" s="249">
        <v>0.54166666666666663</v>
      </c>
      <c r="N1071" s="235">
        <v>198337</v>
      </c>
      <c r="O1071" s="235">
        <v>102384</v>
      </c>
      <c r="P1071" s="235">
        <v>9455</v>
      </c>
      <c r="Q1071" s="235"/>
      <c r="R1071" s="235">
        <v>38669</v>
      </c>
      <c r="S1071" s="236">
        <v>8982.6</v>
      </c>
      <c r="T1071" s="236"/>
      <c r="U1071" s="236"/>
      <c r="V1071" s="235">
        <v>259244</v>
      </c>
      <c r="W1071" s="235">
        <v>120578</v>
      </c>
      <c r="X1071" s="235">
        <v>99214</v>
      </c>
      <c r="Y1071" s="235">
        <v>92778</v>
      </c>
      <c r="Z1071" s="235">
        <v>185556</v>
      </c>
    </row>
    <row r="1072" spans="1:26" ht="18" hidden="1" customHeight="1" x14ac:dyDescent="0.2">
      <c r="A1072" s="47">
        <f t="shared" si="768"/>
        <v>43923</v>
      </c>
      <c r="B1072" s="47" t="str">
        <f t="shared" si="731"/>
        <v>四</v>
      </c>
      <c r="C1072" s="48">
        <f t="shared" si="784"/>
        <v>0</v>
      </c>
      <c r="D1072" s="84">
        <f t="shared" si="727"/>
        <v>0</v>
      </c>
      <c r="E1072" s="45">
        <f t="shared" si="728"/>
        <v>0</v>
      </c>
      <c r="F1072" s="45">
        <f t="shared" si="785"/>
        <v>0</v>
      </c>
      <c r="G1072" s="79">
        <f t="shared" si="786"/>
        <v>0</v>
      </c>
      <c r="H1072" s="199">
        <v>447</v>
      </c>
      <c r="I1072" s="199">
        <v>304</v>
      </c>
      <c r="J1072" s="200">
        <f t="shared" si="712"/>
        <v>751</v>
      </c>
      <c r="K1072" s="201">
        <f t="shared" si="713"/>
        <v>751</v>
      </c>
      <c r="L1072" s="254">
        <v>39</v>
      </c>
      <c r="M1072" s="249">
        <v>0.11458333333333333</v>
      </c>
      <c r="N1072" s="153">
        <v>198337</v>
      </c>
      <c r="O1072" s="153">
        <v>102384</v>
      </c>
      <c r="P1072" s="153">
        <v>9455</v>
      </c>
      <c r="Q1072" s="153"/>
      <c r="R1072" s="153">
        <v>38669</v>
      </c>
      <c r="S1072" s="154">
        <v>8982.6</v>
      </c>
      <c r="T1072" s="154"/>
      <c r="U1072" s="154"/>
      <c r="V1072" s="153">
        <v>259244</v>
      </c>
      <c r="W1072" s="153">
        <v>120578</v>
      </c>
      <c r="X1072" s="153">
        <v>99214</v>
      </c>
      <c r="Y1072" s="153">
        <v>92778</v>
      </c>
      <c r="Z1072" s="153">
        <v>185556</v>
      </c>
    </row>
    <row r="1073" spans="1:26" ht="18" hidden="1" customHeight="1" x14ac:dyDescent="0.2">
      <c r="A1073" s="47">
        <f t="shared" si="768"/>
        <v>43924</v>
      </c>
      <c r="B1073" s="47" t="str">
        <f t="shared" si="731"/>
        <v>五</v>
      </c>
      <c r="C1073" s="48">
        <f t="shared" si="784"/>
        <v>0</v>
      </c>
      <c r="D1073" s="84">
        <f t="shared" si="727"/>
        <v>0</v>
      </c>
      <c r="E1073" s="45">
        <f t="shared" si="728"/>
        <v>0</v>
      </c>
      <c r="F1073" s="45">
        <f t="shared" si="785"/>
        <v>0</v>
      </c>
      <c r="G1073" s="79">
        <f t="shared" si="786"/>
        <v>0</v>
      </c>
      <c r="H1073" s="199">
        <v>1457</v>
      </c>
      <c r="I1073" s="199">
        <v>305</v>
      </c>
      <c r="J1073" s="200">
        <f t="shared" si="712"/>
        <v>1762</v>
      </c>
      <c r="K1073" s="201">
        <f t="shared" si="713"/>
        <v>1762</v>
      </c>
      <c r="L1073" s="254">
        <v>145</v>
      </c>
      <c r="M1073" s="249">
        <v>0.66666666666666663</v>
      </c>
      <c r="N1073" s="153">
        <v>198337</v>
      </c>
      <c r="O1073" s="153">
        <v>102384</v>
      </c>
      <c r="P1073" s="153">
        <v>9455</v>
      </c>
      <c r="Q1073" s="153"/>
      <c r="R1073" s="153">
        <v>38669</v>
      </c>
      <c r="S1073" s="154">
        <v>8982.6</v>
      </c>
      <c r="T1073" s="154"/>
      <c r="U1073" s="154"/>
      <c r="V1073" s="153">
        <v>259244</v>
      </c>
      <c r="W1073" s="153">
        <v>120578</v>
      </c>
      <c r="X1073" s="153">
        <v>99214</v>
      </c>
      <c r="Y1073" s="153">
        <v>92778</v>
      </c>
      <c r="Z1073" s="153">
        <v>185556</v>
      </c>
    </row>
    <row r="1074" spans="1:26" ht="18" hidden="1" customHeight="1" x14ac:dyDescent="0.2">
      <c r="A1074" s="47">
        <f t="shared" si="768"/>
        <v>43925</v>
      </c>
      <c r="B1074" s="47" t="str">
        <f t="shared" si="731"/>
        <v>六</v>
      </c>
      <c r="C1074" s="48">
        <f t="shared" si="784"/>
        <v>0</v>
      </c>
      <c r="D1074" s="84">
        <f t="shared" si="727"/>
        <v>0</v>
      </c>
      <c r="E1074" s="45">
        <f t="shared" si="728"/>
        <v>0</v>
      </c>
      <c r="F1074" s="45">
        <f t="shared" si="785"/>
        <v>0</v>
      </c>
      <c r="G1074" s="79">
        <f t="shared" si="786"/>
        <v>0</v>
      </c>
      <c r="H1074" s="199">
        <v>0</v>
      </c>
      <c r="I1074" s="199">
        <v>732</v>
      </c>
      <c r="J1074" s="200">
        <f t="shared" si="712"/>
        <v>732</v>
      </c>
      <c r="K1074" s="201">
        <f t="shared" si="713"/>
        <v>732</v>
      </c>
      <c r="L1074" s="254">
        <v>41</v>
      </c>
      <c r="M1074" s="249">
        <v>4.1666666666666664E-2</v>
      </c>
      <c r="N1074" s="153">
        <v>198337</v>
      </c>
      <c r="O1074" s="153">
        <v>102384</v>
      </c>
      <c r="P1074" s="153">
        <v>9455</v>
      </c>
      <c r="Q1074" s="153"/>
      <c r="R1074" s="153">
        <v>38669</v>
      </c>
      <c r="S1074" s="154">
        <v>8982.6</v>
      </c>
      <c r="T1074" s="154"/>
      <c r="U1074" s="154"/>
      <c r="V1074" s="153">
        <v>259244</v>
      </c>
      <c r="W1074" s="153">
        <v>120578</v>
      </c>
      <c r="X1074" s="153">
        <v>99214</v>
      </c>
      <c r="Y1074" s="153">
        <v>92778</v>
      </c>
      <c r="Z1074" s="153">
        <v>185556</v>
      </c>
    </row>
    <row r="1075" spans="1:26" ht="18" hidden="1" customHeight="1" x14ac:dyDescent="0.2">
      <c r="A1075" s="47">
        <f t="shared" si="768"/>
        <v>43926</v>
      </c>
      <c r="B1075" s="47" t="str">
        <f t="shared" si="731"/>
        <v>日</v>
      </c>
      <c r="C1075" s="48">
        <f t="shared" si="784"/>
        <v>3351</v>
      </c>
      <c r="D1075" s="84">
        <f t="shared" si="727"/>
        <v>168</v>
      </c>
      <c r="E1075" s="45">
        <f t="shared" si="728"/>
        <v>3272.9999999999563</v>
      </c>
      <c r="F1075" s="45">
        <f t="shared" si="785"/>
        <v>559</v>
      </c>
      <c r="G1075" s="79">
        <f t="shared" si="786"/>
        <v>7350.9999999999563</v>
      </c>
      <c r="H1075" s="199">
        <v>0</v>
      </c>
      <c r="I1075" s="199">
        <v>1579</v>
      </c>
      <c r="J1075" s="200">
        <f t="shared" si="712"/>
        <v>1579</v>
      </c>
      <c r="K1075" s="201">
        <f t="shared" si="713"/>
        <v>-5771.9999999999563</v>
      </c>
      <c r="L1075" s="254">
        <v>142</v>
      </c>
      <c r="M1075" s="249">
        <v>0.47916666666666669</v>
      </c>
      <c r="N1075" s="153">
        <v>198337</v>
      </c>
      <c r="O1075" s="153">
        <v>102384</v>
      </c>
      <c r="P1075" s="153">
        <v>9455</v>
      </c>
      <c r="Q1075" s="153"/>
      <c r="R1075" s="153">
        <v>38669</v>
      </c>
      <c r="S1075" s="154">
        <v>8982.6</v>
      </c>
      <c r="T1075" s="154"/>
      <c r="U1075" s="154"/>
      <c r="V1075" s="153">
        <v>259244</v>
      </c>
      <c r="W1075" s="153">
        <v>120578</v>
      </c>
      <c r="X1075" s="153">
        <v>99214</v>
      </c>
      <c r="Y1075" s="153">
        <v>92778</v>
      </c>
      <c r="Z1075" s="153">
        <v>185556</v>
      </c>
    </row>
    <row r="1076" spans="1:26" ht="18" hidden="1" customHeight="1" x14ac:dyDescent="0.2">
      <c r="A1076" s="47">
        <f t="shared" si="768"/>
        <v>43927</v>
      </c>
      <c r="B1076" s="47" t="str">
        <f t="shared" si="731"/>
        <v>一</v>
      </c>
      <c r="C1076" s="48">
        <f t="shared" ref="C1076" si="787">(V1077-V1076)*1+(W1077-W1076)*32+(X1077-X1076)*12+(Y1077-Y1076)*6</f>
        <v>2448</v>
      </c>
      <c r="D1076" s="84">
        <f t="shared" si="727"/>
        <v>-48</v>
      </c>
      <c r="E1076" s="45">
        <f t="shared" si="728"/>
        <v>815.00000000004366</v>
      </c>
      <c r="F1076" s="45">
        <f t="shared" ref="F1076" si="788">(Z1077-Z1076)*1</f>
        <v>120</v>
      </c>
      <c r="G1076" s="79">
        <f t="shared" ref="G1076" si="789">C1076+D1076+F1076+E1076</f>
        <v>3335.0000000000437</v>
      </c>
      <c r="H1076" s="199">
        <v>2905</v>
      </c>
      <c r="I1076" s="199">
        <v>338</v>
      </c>
      <c r="J1076" s="200">
        <f t="shared" si="712"/>
        <v>3243</v>
      </c>
      <c r="K1076" s="201">
        <f t="shared" si="713"/>
        <v>-92.000000000043656</v>
      </c>
      <c r="L1076" s="254">
        <v>299</v>
      </c>
      <c r="M1076" s="249">
        <v>0.4375</v>
      </c>
      <c r="N1076" s="235">
        <v>198337</v>
      </c>
      <c r="O1076" s="235">
        <v>102384</v>
      </c>
      <c r="P1076" s="235">
        <v>9476</v>
      </c>
      <c r="Q1076" s="235"/>
      <c r="R1076" s="235">
        <v>38774</v>
      </c>
      <c r="S1076" s="236">
        <v>9009</v>
      </c>
      <c r="T1076" s="236"/>
      <c r="U1076" s="236"/>
      <c r="V1076" s="235">
        <v>259859</v>
      </c>
      <c r="W1076" s="235">
        <v>120638</v>
      </c>
      <c r="X1076" s="235">
        <v>99282</v>
      </c>
      <c r="Y1076" s="235">
        <v>92778</v>
      </c>
      <c r="Z1076" s="235">
        <v>186115</v>
      </c>
    </row>
    <row r="1077" spans="1:26" ht="18" hidden="1" customHeight="1" x14ac:dyDescent="0.2">
      <c r="A1077" s="47">
        <f t="shared" si="768"/>
        <v>43928</v>
      </c>
      <c r="B1077" s="47" t="str">
        <f t="shared" si="731"/>
        <v>二</v>
      </c>
      <c r="C1077" s="48">
        <f t="shared" ref="C1077" si="790">(V1078-V1077)*1+(W1078-W1077)*32+(X1078-X1077)*12+(Y1078-Y1077)*6</f>
        <v>1809</v>
      </c>
      <c r="D1077" s="84">
        <f t="shared" si="727"/>
        <v>80</v>
      </c>
      <c r="E1077" s="45">
        <f t="shared" si="728"/>
        <v>115.99999999991269</v>
      </c>
      <c r="F1077" s="45">
        <f t="shared" ref="F1077" si="791">(Z1078-Z1077)*1</f>
        <v>133</v>
      </c>
      <c r="G1077" s="79">
        <f t="shared" ref="G1077" si="792">C1077+D1077+F1077+E1077</f>
        <v>2137.9999999999127</v>
      </c>
      <c r="H1077" s="199">
        <v>2176</v>
      </c>
      <c r="I1077" s="199">
        <v>386</v>
      </c>
      <c r="J1077" s="200">
        <f t="shared" si="712"/>
        <v>2562</v>
      </c>
      <c r="K1077" s="201">
        <f t="shared" si="713"/>
        <v>424.00000000008731</v>
      </c>
      <c r="L1077" s="254">
        <v>202</v>
      </c>
      <c r="M1077" s="249">
        <v>0.40625</v>
      </c>
      <c r="N1077" s="235">
        <v>198337</v>
      </c>
      <c r="O1077" s="203">
        <v>102384</v>
      </c>
      <c r="P1077" s="235">
        <v>9470</v>
      </c>
      <c r="Q1077" s="235"/>
      <c r="R1077" s="235">
        <v>38797</v>
      </c>
      <c r="S1077" s="236">
        <v>9015.6</v>
      </c>
      <c r="T1077" s="236"/>
      <c r="U1077" s="236"/>
      <c r="V1077" s="235">
        <v>260023</v>
      </c>
      <c r="W1077" s="235">
        <v>120676</v>
      </c>
      <c r="X1077" s="235">
        <v>99371</v>
      </c>
      <c r="Y1077" s="235">
        <v>92778</v>
      </c>
      <c r="Z1077" s="235">
        <v>186235</v>
      </c>
    </row>
    <row r="1078" spans="1:26" ht="18" hidden="1" customHeight="1" x14ac:dyDescent="0.2">
      <c r="A1078" s="47">
        <f t="shared" si="768"/>
        <v>43929</v>
      </c>
      <c r="B1078" s="47" t="str">
        <f t="shared" si="731"/>
        <v>三</v>
      </c>
      <c r="C1078" s="48">
        <f t="shared" ref="C1078" si="793">(V1079-V1078)*1+(W1079-W1078)*32+(X1079-X1078)*12+(Y1079-Y1078)*6</f>
        <v>2299</v>
      </c>
      <c r="D1078" s="84">
        <f t="shared" si="727"/>
        <v>40</v>
      </c>
      <c r="E1078" s="45">
        <f t="shared" si="728"/>
        <v>837.00000000013097</v>
      </c>
      <c r="F1078" s="45">
        <f t="shared" ref="F1078" si="794">(Z1079-Z1078)*1</f>
        <v>99</v>
      </c>
      <c r="G1078" s="79">
        <f t="shared" ref="G1078" si="795">C1078+D1078+F1078+E1078</f>
        <v>3275.000000000131</v>
      </c>
      <c r="H1078" s="199">
        <v>3006</v>
      </c>
      <c r="I1078" s="199">
        <v>374</v>
      </c>
      <c r="J1078" s="200">
        <f t="shared" si="712"/>
        <v>3380</v>
      </c>
      <c r="K1078" s="201">
        <f t="shared" si="713"/>
        <v>104.99999999986903</v>
      </c>
      <c r="L1078" s="254">
        <v>315</v>
      </c>
      <c r="M1078" s="249">
        <v>0.46875</v>
      </c>
      <c r="N1078" s="235">
        <v>198337</v>
      </c>
      <c r="O1078" s="235">
        <v>102384</v>
      </c>
      <c r="P1078" s="235">
        <v>9480</v>
      </c>
      <c r="Q1078" s="235"/>
      <c r="R1078" s="235">
        <v>38817</v>
      </c>
      <c r="S1078" s="236">
        <v>9016.4</v>
      </c>
      <c r="T1078" s="236"/>
      <c r="U1078" s="236"/>
      <c r="V1078" s="235">
        <v>260192</v>
      </c>
      <c r="W1078" s="235">
        <v>120695</v>
      </c>
      <c r="X1078" s="235">
        <v>99457</v>
      </c>
      <c r="Y1078" s="235">
        <v>92778</v>
      </c>
      <c r="Z1078" s="235">
        <v>186368</v>
      </c>
    </row>
    <row r="1079" spans="1:26" ht="18" hidden="1" customHeight="1" x14ac:dyDescent="0.2">
      <c r="A1079" s="47">
        <f t="shared" si="768"/>
        <v>43930</v>
      </c>
      <c r="B1079" s="47" t="str">
        <f t="shared" si="731"/>
        <v>四</v>
      </c>
      <c r="C1079" s="48">
        <f t="shared" ref="C1079" si="796">(V1080-V1079)*1+(W1080-W1079)*32+(X1080-X1079)*12+(Y1080-Y1079)*6</f>
        <v>2113</v>
      </c>
      <c r="D1079" s="84">
        <f t="shared" si="727"/>
        <v>48</v>
      </c>
      <c r="E1079" s="45">
        <f t="shared" si="728"/>
        <v>104.99999999986903</v>
      </c>
      <c r="F1079" s="45">
        <f t="shared" ref="F1079" si="797">(Z1080-Z1079)*1</f>
        <v>94</v>
      </c>
      <c r="G1079" s="79">
        <f t="shared" ref="G1079" si="798">C1079+D1079+F1079+E1079</f>
        <v>2359.999999999869</v>
      </c>
      <c r="H1079" s="199">
        <v>2088</v>
      </c>
      <c r="I1079" s="199">
        <v>409</v>
      </c>
      <c r="J1079" s="200">
        <f t="shared" si="712"/>
        <v>2497</v>
      </c>
      <c r="K1079" s="201">
        <f t="shared" si="713"/>
        <v>137.00000000013097</v>
      </c>
      <c r="L1079" s="254">
        <v>220</v>
      </c>
      <c r="M1079" s="249">
        <v>0.39583333333333331</v>
      </c>
      <c r="N1079" s="235">
        <v>198337</v>
      </c>
      <c r="O1079" s="235">
        <v>102385</v>
      </c>
      <c r="P1079" s="235">
        <v>9485</v>
      </c>
      <c r="Q1079" s="235"/>
      <c r="R1079" s="235">
        <v>38838</v>
      </c>
      <c r="S1079" s="236">
        <v>9023.2000000000007</v>
      </c>
      <c r="T1079" s="236"/>
      <c r="U1079" s="236"/>
      <c r="V1079" s="235">
        <v>260355</v>
      </c>
      <c r="W1079" s="235">
        <v>120728</v>
      </c>
      <c r="X1079" s="235">
        <v>99547</v>
      </c>
      <c r="Y1079" s="235">
        <v>92778</v>
      </c>
      <c r="Z1079" s="235">
        <v>186467</v>
      </c>
    </row>
    <row r="1080" spans="1:26" ht="18" hidden="1" customHeight="1" x14ac:dyDescent="0.2">
      <c r="A1080" s="47">
        <f t="shared" si="768"/>
        <v>43931</v>
      </c>
      <c r="B1080" s="47" t="str">
        <f t="shared" si="731"/>
        <v>五</v>
      </c>
      <c r="C1080" s="48">
        <f t="shared" ref="C1080:C1082" si="799">(V1081-V1080)*1+(W1081-W1080)*32+(X1081-X1080)*12+(Y1081-Y1080)*6</f>
        <v>0</v>
      </c>
      <c r="D1080" s="84">
        <f t="shared" si="727"/>
        <v>0</v>
      </c>
      <c r="E1080" s="45">
        <f t="shared" si="728"/>
        <v>0</v>
      </c>
      <c r="F1080" s="45">
        <f t="shared" ref="F1080:F1082" si="800">(Z1081-Z1080)*1</f>
        <v>0</v>
      </c>
      <c r="G1080" s="79">
        <f t="shared" ref="G1080:G1082" si="801">C1080+D1080+F1080+E1080</f>
        <v>0</v>
      </c>
      <c r="H1080" s="199">
        <v>2791</v>
      </c>
      <c r="I1080" s="199">
        <v>395</v>
      </c>
      <c r="J1080" s="200">
        <f t="shared" si="712"/>
        <v>3186</v>
      </c>
      <c r="K1080" s="201">
        <f t="shared" si="713"/>
        <v>3186</v>
      </c>
      <c r="L1080" s="254">
        <v>303</v>
      </c>
      <c r="M1080" s="249">
        <v>0.51041666666666663</v>
      </c>
      <c r="N1080" s="235">
        <v>198337</v>
      </c>
      <c r="O1080" s="235">
        <v>102388</v>
      </c>
      <c r="P1080" s="235">
        <v>9491</v>
      </c>
      <c r="Q1080" s="235"/>
      <c r="R1080" s="235">
        <v>38859</v>
      </c>
      <c r="S1080" s="236">
        <v>9023.9</v>
      </c>
      <c r="T1080" s="236"/>
      <c r="U1080" s="236"/>
      <c r="V1080" s="235">
        <v>260516</v>
      </c>
      <c r="W1080" s="235">
        <v>120759</v>
      </c>
      <c r="X1080" s="235">
        <v>99627</v>
      </c>
      <c r="Y1080" s="235">
        <v>92778</v>
      </c>
      <c r="Z1080" s="235">
        <v>186561</v>
      </c>
    </row>
    <row r="1081" spans="1:26" ht="18" hidden="1" customHeight="1" x14ac:dyDescent="0.2">
      <c r="A1081" s="47">
        <f t="shared" si="768"/>
        <v>43932</v>
      </c>
      <c r="B1081" s="47" t="str">
        <f t="shared" si="731"/>
        <v>六</v>
      </c>
      <c r="C1081" s="48">
        <f t="shared" si="799"/>
        <v>0</v>
      </c>
      <c r="D1081" s="84">
        <f t="shared" si="727"/>
        <v>0</v>
      </c>
      <c r="E1081" s="45">
        <f t="shared" si="728"/>
        <v>0</v>
      </c>
      <c r="F1081" s="45">
        <f t="shared" si="800"/>
        <v>0</v>
      </c>
      <c r="G1081" s="79">
        <f t="shared" si="801"/>
        <v>0</v>
      </c>
      <c r="H1081" s="199">
        <v>0</v>
      </c>
      <c r="I1081" s="199">
        <f>461+315</f>
        <v>776</v>
      </c>
      <c r="J1081" s="200">
        <f t="shared" ref="J1081:J1115" si="802">H1081+I1081</f>
        <v>776</v>
      </c>
      <c r="K1081" s="201">
        <f t="shared" ref="K1081:K1115" si="803">J1081-G1081</f>
        <v>776</v>
      </c>
      <c r="L1081" s="254">
        <v>44</v>
      </c>
      <c r="M1081" s="249">
        <v>4.1666666666666664E-2</v>
      </c>
      <c r="N1081" s="153">
        <v>198337</v>
      </c>
      <c r="O1081" s="153">
        <v>102388</v>
      </c>
      <c r="P1081" s="153">
        <v>9491</v>
      </c>
      <c r="Q1081" s="153"/>
      <c r="R1081" s="153">
        <v>38859</v>
      </c>
      <c r="S1081" s="154">
        <v>9023.9</v>
      </c>
      <c r="T1081" s="154"/>
      <c r="U1081" s="154"/>
      <c r="V1081" s="153">
        <v>260516</v>
      </c>
      <c r="W1081" s="153">
        <v>120759</v>
      </c>
      <c r="X1081" s="153">
        <v>99627</v>
      </c>
      <c r="Y1081" s="153">
        <v>92778</v>
      </c>
      <c r="Z1081" s="153">
        <v>186561</v>
      </c>
    </row>
    <row r="1082" spans="1:26" ht="18" hidden="1" customHeight="1" x14ac:dyDescent="0.2">
      <c r="A1082" s="47">
        <f t="shared" si="768"/>
        <v>43933</v>
      </c>
      <c r="B1082" s="47" t="str">
        <f t="shared" si="731"/>
        <v>日</v>
      </c>
      <c r="C1082" s="48">
        <f t="shared" si="799"/>
        <v>2866</v>
      </c>
      <c r="D1082" s="84">
        <f t="shared" si="727"/>
        <v>72</v>
      </c>
      <c r="E1082" s="45">
        <f t="shared" si="728"/>
        <v>1899.000000000131</v>
      </c>
      <c r="F1082" s="45">
        <f t="shared" si="800"/>
        <v>374</v>
      </c>
      <c r="G1082" s="79">
        <f t="shared" si="801"/>
        <v>5211.000000000131</v>
      </c>
      <c r="H1082" s="199">
        <v>0</v>
      </c>
      <c r="I1082" s="199">
        <v>1630</v>
      </c>
      <c r="J1082" s="200">
        <f t="shared" si="802"/>
        <v>1630</v>
      </c>
      <c r="K1082" s="201">
        <f t="shared" si="803"/>
        <v>-3581.000000000131</v>
      </c>
      <c r="L1082" s="254">
        <v>150</v>
      </c>
      <c r="M1082" s="249">
        <v>0.48958333333333331</v>
      </c>
      <c r="N1082" s="153">
        <v>198337</v>
      </c>
      <c r="O1082" s="153">
        <v>102388</v>
      </c>
      <c r="P1082" s="153">
        <v>9491</v>
      </c>
      <c r="Q1082" s="153"/>
      <c r="R1082" s="153">
        <v>38859</v>
      </c>
      <c r="S1082" s="154">
        <v>9023.9</v>
      </c>
      <c r="T1082" s="154"/>
      <c r="U1082" s="154"/>
      <c r="V1082" s="153">
        <v>260516</v>
      </c>
      <c r="W1082" s="153">
        <v>120759</v>
      </c>
      <c r="X1082" s="153">
        <v>99627</v>
      </c>
      <c r="Y1082" s="153">
        <v>92778</v>
      </c>
      <c r="Z1082" s="153">
        <v>186561</v>
      </c>
    </row>
    <row r="1083" spans="1:26" ht="18" hidden="1" customHeight="1" x14ac:dyDescent="0.2">
      <c r="A1083" s="47">
        <f t="shared" si="768"/>
        <v>43934</v>
      </c>
      <c r="B1083" s="47" t="str">
        <f t="shared" si="731"/>
        <v>一</v>
      </c>
      <c r="C1083" s="48">
        <f t="shared" ref="C1083" si="804">(V1084-V1083)*1+(W1084-W1083)*32+(X1084-X1083)*12+(Y1084-Y1083)*6</f>
        <v>2156</v>
      </c>
      <c r="D1083" s="84">
        <f t="shared" si="727"/>
        <v>40</v>
      </c>
      <c r="E1083" s="45">
        <f t="shared" si="728"/>
        <v>1051.9999999998254</v>
      </c>
      <c r="F1083" s="45">
        <f t="shared" ref="F1083" si="805">(Z1084-Z1083)*1</f>
        <v>127</v>
      </c>
      <c r="G1083" s="79">
        <f t="shared" ref="G1083" si="806">C1083+D1083+F1083+E1083</f>
        <v>3374.9999999998254</v>
      </c>
      <c r="H1083" s="199">
        <v>3097</v>
      </c>
      <c r="I1083" s="199">
        <v>363</v>
      </c>
      <c r="J1083" s="200">
        <f t="shared" si="802"/>
        <v>3460</v>
      </c>
      <c r="K1083" s="201">
        <f t="shared" si="803"/>
        <v>85.000000000174623</v>
      </c>
      <c r="L1083" s="254">
        <v>316</v>
      </c>
      <c r="M1083" s="249">
        <v>0.45833333333333331</v>
      </c>
      <c r="N1083" s="235">
        <v>198337</v>
      </c>
      <c r="O1083" s="235">
        <v>102388</v>
      </c>
      <c r="P1083" s="235">
        <v>9500</v>
      </c>
      <c r="Q1083" s="235"/>
      <c r="R1083" s="235">
        <v>38922</v>
      </c>
      <c r="S1083" s="236">
        <v>9039.2000000000007</v>
      </c>
      <c r="T1083" s="236"/>
      <c r="U1083" s="236"/>
      <c r="V1083" s="235">
        <v>260926</v>
      </c>
      <c r="W1083" s="235">
        <v>120808</v>
      </c>
      <c r="X1083" s="235">
        <v>99701</v>
      </c>
      <c r="Y1083" s="235">
        <v>92778</v>
      </c>
      <c r="Z1083" s="235">
        <v>186935</v>
      </c>
    </row>
    <row r="1084" spans="1:26" ht="18" hidden="1" customHeight="1" x14ac:dyDescent="0.2">
      <c r="A1084" s="47">
        <f t="shared" si="768"/>
        <v>43935</v>
      </c>
      <c r="B1084" s="47" t="str">
        <f t="shared" si="731"/>
        <v>二</v>
      </c>
      <c r="C1084" s="48">
        <f t="shared" ref="C1084" si="807">(V1085-V1084)*1+(W1085-W1084)*32+(X1085-X1084)*12+(Y1085-Y1084)*6</f>
        <v>1821</v>
      </c>
      <c r="D1084" s="84">
        <f t="shared" si="727"/>
        <v>40</v>
      </c>
      <c r="E1084" s="45">
        <f t="shared" si="728"/>
        <v>166.00000000008731</v>
      </c>
      <c r="F1084" s="45">
        <f t="shared" ref="F1084" si="808">(Z1085-Z1084)*1</f>
        <v>113</v>
      </c>
      <c r="G1084" s="79">
        <f t="shared" ref="G1084" si="809">C1084+D1084+F1084+E1084</f>
        <v>2140.0000000000873</v>
      </c>
      <c r="H1084" s="199">
        <v>1908</v>
      </c>
      <c r="I1084" s="199">
        <v>404</v>
      </c>
      <c r="J1084" s="200">
        <f t="shared" si="802"/>
        <v>2312</v>
      </c>
      <c r="K1084" s="201">
        <f t="shared" si="803"/>
        <v>171.99999999991269</v>
      </c>
      <c r="L1084" s="254">
        <v>205</v>
      </c>
      <c r="M1084" s="249">
        <v>0.42708333333333331</v>
      </c>
      <c r="N1084" s="235">
        <v>198337</v>
      </c>
      <c r="O1084" s="235">
        <v>102388</v>
      </c>
      <c r="P1084" s="235">
        <v>9505</v>
      </c>
      <c r="Q1084" s="235"/>
      <c r="R1084" s="235">
        <v>38942</v>
      </c>
      <c r="S1084" s="236">
        <v>9047.7999999999993</v>
      </c>
      <c r="T1084" s="236"/>
      <c r="U1084" s="236"/>
      <c r="V1084" s="235">
        <v>261090</v>
      </c>
      <c r="W1084" s="235">
        <v>120838</v>
      </c>
      <c r="X1084" s="235">
        <v>99787</v>
      </c>
      <c r="Y1084" s="235">
        <v>92778</v>
      </c>
      <c r="Z1084" s="235">
        <v>187062</v>
      </c>
    </row>
    <row r="1085" spans="1:26" ht="18" hidden="1" customHeight="1" x14ac:dyDescent="0.2">
      <c r="A1085" s="47">
        <f t="shared" si="768"/>
        <v>43936</v>
      </c>
      <c r="B1085" s="47" t="str">
        <f t="shared" si="731"/>
        <v>三</v>
      </c>
      <c r="C1085" s="48">
        <f t="shared" ref="C1085" si="810">(V1086-V1085)*1+(W1086-W1085)*32+(X1086-X1085)*12+(Y1086-Y1085)*6</f>
        <v>1951</v>
      </c>
      <c r="D1085" s="84">
        <f t="shared" si="727"/>
        <v>32</v>
      </c>
      <c r="E1085" s="45">
        <f t="shared" si="728"/>
        <v>936.00000000004366</v>
      </c>
      <c r="F1085" s="45">
        <f t="shared" ref="F1085" si="811">(Z1086-Z1085)*1</f>
        <v>99</v>
      </c>
      <c r="G1085" s="79">
        <f t="shared" ref="G1085" si="812">C1085+D1085+F1085+E1085</f>
        <v>3018.0000000000437</v>
      </c>
      <c r="H1085" s="199">
        <v>2748</v>
      </c>
      <c r="I1085" s="199">
        <v>340</v>
      </c>
      <c r="J1085" s="200">
        <f t="shared" si="802"/>
        <v>3088</v>
      </c>
      <c r="K1085" s="201">
        <f t="shared" si="803"/>
        <v>69.999999999956344</v>
      </c>
      <c r="L1085" s="254">
        <v>295</v>
      </c>
      <c r="M1085" s="249">
        <v>0.65625</v>
      </c>
      <c r="N1085" s="235">
        <v>198337</v>
      </c>
      <c r="O1085" s="235">
        <v>102385</v>
      </c>
      <c r="P1085" s="235">
        <v>9510</v>
      </c>
      <c r="Q1085" s="235"/>
      <c r="R1085" s="235">
        <v>38964</v>
      </c>
      <c r="S1085" s="236">
        <v>9049</v>
      </c>
      <c r="T1085" s="236"/>
      <c r="U1085" s="236"/>
      <c r="V1085" s="235">
        <v>261251</v>
      </c>
      <c r="W1085" s="235">
        <v>120864</v>
      </c>
      <c r="X1085" s="235">
        <v>99856</v>
      </c>
      <c r="Y1085" s="235">
        <v>92778</v>
      </c>
      <c r="Z1085" s="235">
        <v>187175</v>
      </c>
    </row>
    <row r="1086" spans="1:26" ht="18" hidden="1" customHeight="1" x14ac:dyDescent="0.2">
      <c r="A1086" s="47">
        <f t="shared" si="768"/>
        <v>43937</v>
      </c>
      <c r="B1086" s="47" t="str">
        <f t="shared" si="731"/>
        <v>四</v>
      </c>
      <c r="C1086" s="48">
        <f t="shared" ref="C1086" si="813">(V1087-V1086)*1+(W1087-W1086)*32+(X1087-X1086)*12+(Y1087-Y1086)*6</f>
        <v>1817</v>
      </c>
      <c r="D1086" s="84">
        <f t="shared" si="727"/>
        <v>40</v>
      </c>
      <c r="E1086" s="45">
        <f t="shared" si="728"/>
        <v>514.00000000004366</v>
      </c>
      <c r="F1086" s="45">
        <f t="shared" ref="F1086" si="814">(Z1087-Z1086)*1</f>
        <v>94</v>
      </c>
      <c r="G1086" s="79">
        <f t="shared" ref="G1086" si="815">C1086+D1086+F1086+E1086</f>
        <v>2465.0000000000437</v>
      </c>
      <c r="H1086" s="199">
        <v>2197</v>
      </c>
      <c r="I1086" s="199">
        <v>374</v>
      </c>
      <c r="J1086" s="200">
        <f t="shared" si="802"/>
        <v>2571</v>
      </c>
      <c r="K1086" s="201">
        <f t="shared" si="803"/>
        <v>105.99999999995634</v>
      </c>
      <c r="L1086" s="254">
        <v>272</v>
      </c>
      <c r="M1086" s="249">
        <v>0.47916666666666669</v>
      </c>
      <c r="N1086" s="235">
        <v>198337</v>
      </c>
      <c r="O1086" s="235">
        <v>102388</v>
      </c>
      <c r="P1086" s="235">
        <v>9514</v>
      </c>
      <c r="Q1086" s="235"/>
      <c r="R1086" s="235">
        <v>38988</v>
      </c>
      <c r="S1086" s="236">
        <v>9056.6</v>
      </c>
      <c r="T1086" s="236"/>
      <c r="U1086" s="236"/>
      <c r="V1086" s="235">
        <v>261402</v>
      </c>
      <c r="W1086" s="235">
        <v>120891</v>
      </c>
      <c r="X1086" s="235">
        <v>99934</v>
      </c>
      <c r="Y1086" s="235">
        <v>92778</v>
      </c>
      <c r="Z1086" s="235">
        <v>187274</v>
      </c>
    </row>
    <row r="1087" spans="1:26" ht="18" hidden="1" customHeight="1" x14ac:dyDescent="0.2">
      <c r="A1087" s="47">
        <f t="shared" si="768"/>
        <v>43938</v>
      </c>
      <c r="B1087" s="47" t="str">
        <f t="shared" si="731"/>
        <v>五</v>
      </c>
      <c r="C1087" s="48">
        <f t="shared" ref="C1087:C1089" si="816">(V1088-V1087)*1+(W1088-W1087)*32+(X1088-X1087)*12+(Y1088-Y1087)*6</f>
        <v>0</v>
      </c>
      <c r="D1087" s="84">
        <f t="shared" si="727"/>
        <v>0</v>
      </c>
      <c r="E1087" s="45">
        <f t="shared" si="728"/>
        <v>0</v>
      </c>
      <c r="F1087" s="45">
        <f t="shared" ref="F1087:F1089" si="817">(Z1088-Z1087)*1</f>
        <v>0</v>
      </c>
      <c r="G1087" s="79">
        <f t="shared" ref="G1087:G1089" si="818">C1087+D1087+F1087+E1087</f>
        <v>0</v>
      </c>
      <c r="H1087" s="199">
        <v>2741</v>
      </c>
      <c r="I1087" s="199">
        <v>382</v>
      </c>
      <c r="J1087" s="200">
        <f t="shared" si="802"/>
        <v>3123</v>
      </c>
      <c r="K1087" s="201">
        <f t="shared" si="803"/>
        <v>3123</v>
      </c>
      <c r="L1087" s="254">
        <v>306</v>
      </c>
      <c r="M1087" s="249">
        <v>0.57291666666666663</v>
      </c>
      <c r="N1087" s="235">
        <v>198337</v>
      </c>
      <c r="O1087" s="235">
        <v>102388</v>
      </c>
      <c r="P1087" s="235">
        <v>9519</v>
      </c>
      <c r="Q1087" s="235"/>
      <c r="R1087" s="235">
        <v>39010</v>
      </c>
      <c r="S1087" s="236">
        <v>9060.7000000000007</v>
      </c>
      <c r="T1087" s="236"/>
      <c r="U1087" s="236"/>
      <c r="V1087" s="235">
        <v>261547</v>
      </c>
      <c r="W1087" s="235">
        <v>120920</v>
      </c>
      <c r="X1087" s="235">
        <v>99996</v>
      </c>
      <c r="Y1087" s="235">
        <v>92778</v>
      </c>
      <c r="Z1087" s="235">
        <v>187368</v>
      </c>
    </row>
    <row r="1088" spans="1:26" ht="18" hidden="1" customHeight="1" x14ac:dyDescent="0.2">
      <c r="A1088" s="47">
        <f t="shared" si="768"/>
        <v>43939</v>
      </c>
      <c r="B1088" s="47" t="str">
        <f t="shared" si="731"/>
        <v>六</v>
      </c>
      <c r="C1088" s="48">
        <f t="shared" si="816"/>
        <v>0</v>
      </c>
      <c r="D1088" s="84">
        <f t="shared" si="727"/>
        <v>0</v>
      </c>
      <c r="E1088" s="45">
        <f t="shared" si="728"/>
        <v>0</v>
      </c>
      <c r="F1088" s="45">
        <f t="shared" si="817"/>
        <v>0</v>
      </c>
      <c r="G1088" s="79">
        <f t="shared" si="818"/>
        <v>0</v>
      </c>
      <c r="H1088" s="199">
        <v>0</v>
      </c>
      <c r="I1088" s="199">
        <f>410+261</f>
        <v>671</v>
      </c>
      <c r="J1088" s="200">
        <f t="shared" si="802"/>
        <v>671</v>
      </c>
      <c r="K1088" s="201">
        <f t="shared" si="803"/>
        <v>671</v>
      </c>
      <c r="L1088" s="254">
        <v>37</v>
      </c>
      <c r="M1088" s="249">
        <v>5.2083333333333336E-2</v>
      </c>
      <c r="N1088" s="153">
        <v>198337</v>
      </c>
      <c r="O1088" s="153">
        <v>102388</v>
      </c>
      <c r="P1088" s="153">
        <v>9519</v>
      </c>
      <c r="Q1088" s="153"/>
      <c r="R1088" s="153">
        <v>39010</v>
      </c>
      <c r="S1088" s="154">
        <v>9060.7000000000007</v>
      </c>
      <c r="T1088" s="154"/>
      <c r="U1088" s="154"/>
      <c r="V1088" s="153">
        <v>261547</v>
      </c>
      <c r="W1088" s="153">
        <v>120920</v>
      </c>
      <c r="X1088" s="153">
        <v>99996</v>
      </c>
      <c r="Y1088" s="153">
        <v>92778</v>
      </c>
      <c r="Z1088" s="153">
        <v>187368</v>
      </c>
    </row>
    <row r="1089" spans="1:26" ht="18" hidden="1" customHeight="1" x14ac:dyDescent="0.2">
      <c r="A1089" s="47">
        <f t="shared" si="768"/>
        <v>43940</v>
      </c>
      <c r="B1089" s="47" t="str">
        <f t="shared" si="731"/>
        <v>日</v>
      </c>
      <c r="C1089" s="48">
        <f t="shared" si="816"/>
        <v>2686</v>
      </c>
      <c r="D1089" s="84">
        <f t="shared" si="727"/>
        <v>64</v>
      </c>
      <c r="E1089" s="45">
        <f t="shared" si="728"/>
        <v>2020.9999999999127</v>
      </c>
      <c r="F1089" s="45">
        <f t="shared" si="817"/>
        <v>170</v>
      </c>
      <c r="G1089" s="79">
        <f t="shared" si="818"/>
        <v>4940.9999999999127</v>
      </c>
      <c r="H1089" s="199">
        <v>0</v>
      </c>
      <c r="I1089" s="199">
        <v>1586</v>
      </c>
      <c r="J1089" s="200">
        <f t="shared" si="802"/>
        <v>1586</v>
      </c>
      <c r="K1089" s="201">
        <f t="shared" si="803"/>
        <v>-3354.9999999999127</v>
      </c>
      <c r="L1089" s="254">
        <v>143</v>
      </c>
      <c r="M1089" s="249">
        <v>0.48958333333333331</v>
      </c>
      <c r="N1089" s="153">
        <v>198337</v>
      </c>
      <c r="O1089" s="153">
        <v>102388</v>
      </c>
      <c r="P1089" s="153">
        <v>9519</v>
      </c>
      <c r="Q1089" s="153"/>
      <c r="R1089" s="153">
        <v>39010</v>
      </c>
      <c r="S1089" s="154">
        <v>9060.7000000000007</v>
      </c>
      <c r="T1089" s="154"/>
      <c r="U1089" s="154"/>
      <c r="V1089" s="153">
        <v>261547</v>
      </c>
      <c r="W1089" s="153">
        <v>120920</v>
      </c>
      <c r="X1089" s="153">
        <v>99996</v>
      </c>
      <c r="Y1089" s="153">
        <v>92778</v>
      </c>
      <c r="Z1089" s="153">
        <v>187368</v>
      </c>
    </row>
    <row r="1090" spans="1:26" ht="18" hidden="1" customHeight="1" x14ac:dyDescent="0.2">
      <c r="A1090" s="47">
        <f t="shared" si="768"/>
        <v>43941</v>
      </c>
      <c r="B1090" s="47" t="str">
        <f t="shared" si="731"/>
        <v>一</v>
      </c>
      <c r="C1090" s="48">
        <f t="shared" ref="C1090" si="819">(V1091-V1090)*1+(W1091-W1090)*32+(X1091-X1090)*12+(Y1091-Y1090)*6</f>
        <v>1545</v>
      </c>
      <c r="D1090" s="84">
        <f t="shared" si="727"/>
        <v>56</v>
      </c>
      <c r="E1090" s="45">
        <f t="shared" si="728"/>
        <v>850.99999999995634</v>
      </c>
      <c r="F1090" s="45">
        <f t="shared" ref="F1090" si="820">(Z1091-Z1090)*1</f>
        <v>91</v>
      </c>
      <c r="G1090" s="79">
        <f t="shared" ref="G1090" si="821">C1090+D1090+F1090+E1090</f>
        <v>2542.9999999999563</v>
      </c>
      <c r="H1090" s="199">
        <v>2498</v>
      </c>
      <c r="I1090" s="199">
        <v>299</v>
      </c>
      <c r="J1090" s="200">
        <f t="shared" si="802"/>
        <v>2797</v>
      </c>
      <c r="K1090" s="201">
        <f t="shared" si="803"/>
        <v>254.00000000004366</v>
      </c>
      <c r="L1090" s="254">
        <v>305</v>
      </c>
      <c r="M1090" s="249">
        <v>0.42708333333333331</v>
      </c>
      <c r="N1090" s="235">
        <v>198337</v>
      </c>
      <c r="O1090" s="235">
        <v>102388</v>
      </c>
      <c r="P1090" s="235">
        <v>9527</v>
      </c>
      <c r="Q1090" s="235"/>
      <c r="R1090" s="235">
        <v>39075</v>
      </c>
      <c r="S1090" s="236">
        <v>9077</v>
      </c>
      <c r="T1090" s="236"/>
      <c r="U1090" s="236"/>
      <c r="V1090" s="235">
        <v>261885</v>
      </c>
      <c r="W1090" s="235">
        <v>120969</v>
      </c>
      <c r="X1090" s="235">
        <v>100061</v>
      </c>
      <c r="Y1090" s="235">
        <v>92778</v>
      </c>
      <c r="Z1090" s="235">
        <v>187538</v>
      </c>
    </row>
    <row r="1091" spans="1:26" ht="18" hidden="1" customHeight="1" x14ac:dyDescent="0.2">
      <c r="A1091" s="47">
        <f t="shared" si="768"/>
        <v>43942</v>
      </c>
      <c r="B1091" s="47" t="str">
        <f t="shared" si="731"/>
        <v>二</v>
      </c>
      <c r="C1091" s="48">
        <f t="shared" ref="C1091" si="822">(V1092-V1091)*1+(W1092-W1091)*32+(X1092-X1091)*12+(Y1092-Y1091)*6</f>
        <v>2349</v>
      </c>
      <c r="D1091" s="84">
        <f t="shared" si="727"/>
        <v>16</v>
      </c>
      <c r="E1091" s="45">
        <f t="shared" si="728"/>
        <v>139</v>
      </c>
      <c r="F1091" s="45">
        <f t="shared" ref="F1091" si="823">(Z1092-Z1091)*1</f>
        <v>29</v>
      </c>
      <c r="G1091" s="79">
        <f t="shared" ref="G1091" si="824">C1091+D1091+F1091+E1091</f>
        <v>2533</v>
      </c>
      <c r="H1091" s="199">
        <v>1995</v>
      </c>
      <c r="I1091" s="199">
        <v>344</v>
      </c>
      <c r="J1091" s="200">
        <f t="shared" si="802"/>
        <v>2339</v>
      </c>
      <c r="K1091" s="201">
        <f t="shared" si="803"/>
        <v>-194</v>
      </c>
      <c r="L1091" s="254">
        <v>196</v>
      </c>
      <c r="M1091" s="249">
        <v>0.39583333333333331</v>
      </c>
      <c r="N1091" s="235">
        <v>198337</v>
      </c>
      <c r="O1091" s="235">
        <v>102338</v>
      </c>
      <c r="P1091" s="235">
        <v>9534</v>
      </c>
      <c r="Q1091" s="235"/>
      <c r="R1091" s="235">
        <v>39098</v>
      </c>
      <c r="S1091" s="236">
        <v>9083.9</v>
      </c>
      <c r="T1091" s="236"/>
      <c r="U1091" s="236"/>
      <c r="V1091" s="235">
        <v>262054</v>
      </c>
      <c r="W1091" s="235">
        <v>120988</v>
      </c>
      <c r="X1091" s="235">
        <v>100125</v>
      </c>
      <c r="Y1091" s="235">
        <v>92778</v>
      </c>
      <c r="Z1091" s="235">
        <v>187629</v>
      </c>
    </row>
    <row r="1092" spans="1:26" ht="18" hidden="1" customHeight="1" x14ac:dyDescent="0.2">
      <c r="A1092" s="47">
        <f t="shared" si="768"/>
        <v>43943</v>
      </c>
      <c r="B1092" s="47" t="str">
        <f t="shared" si="731"/>
        <v>三</v>
      </c>
      <c r="C1092" s="48">
        <f t="shared" ref="C1092" si="825">(V1093-V1092)*1+(W1093-W1092)*32+(X1093-X1092)*12+(Y1093-Y1092)*6</f>
        <v>1984</v>
      </c>
      <c r="D1092" s="84">
        <f t="shared" si="727"/>
        <v>32</v>
      </c>
      <c r="E1092" s="45">
        <f t="shared" si="728"/>
        <v>888.00000000008731</v>
      </c>
      <c r="F1092" s="45">
        <f t="shared" ref="F1092" si="826">(Z1093-Z1092)*1</f>
        <v>76</v>
      </c>
      <c r="G1092" s="79">
        <f t="shared" ref="G1092" si="827">C1092+D1092+F1092+E1092</f>
        <v>2980.0000000000873</v>
      </c>
      <c r="H1092" s="199">
        <v>2590</v>
      </c>
      <c r="I1092" s="199">
        <v>345</v>
      </c>
      <c r="J1092" s="200">
        <f t="shared" si="802"/>
        <v>2935</v>
      </c>
      <c r="K1092" s="201">
        <f t="shared" si="803"/>
        <v>-45.000000000087311</v>
      </c>
      <c r="L1092" s="254">
        <v>309</v>
      </c>
      <c r="M1092" s="249">
        <v>0.57291666666666663</v>
      </c>
      <c r="N1092" s="235">
        <v>198337</v>
      </c>
      <c r="O1092" s="235">
        <v>102388</v>
      </c>
      <c r="P1092" s="235">
        <v>9536</v>
      </c>
      <c r="Q1092" s="235"/>
      <c r="R1092" s="235">
        <v>39117</v>
      </c>
      <c r="S1092" s="236">
        <v>9084.9</v>
      </c>
      <c r="T1092" s="236"/>
      <c r="U1092" s="236"/>
      <c r="V1092" s="235">
        <v>262227</v>
      </c>
      <c r="W1092" s="235">
        <v>121029</v>
      </c>
      <c r="X1092" s="235">
        <v>100197</v>
      </c>
      <c r="Y1092" s="235">
        <v>92778</v>
      </c>
      <c r="Z1092" s="235">
        <v>187658</v>
      </c>
    </row>
    <row r="1093" spans="1:26" ht="18" hidden="1" customHeight="1" x14ac:dyDescent="0.2">
      <c r="A1093" s="47">
        <f t="shared" si="768"/>
        <v>43944</v>
      </c>
      <c r="B1093" s="47" t="str">
        <f t="shared" si="731"/>
        <v>四</v>
      </c>
      <c r="C1093" s="48">
        <f t="shared" ref="C1093" si="828">(V1094-V1093)*1+(W1094-W1093)*32+(X1094-X1093)*12+(Y1094-Y1093)*6</f>
        <v>1574</v>
      </c>
      <c r="D1093" s="84">
        <f t="shared" si="727"/>
        <v>40</v>
      </c>
      <c r="E1093" s="45">
        <f t="shared" si="728"/>
        <v>152.00000000004366</v>
      </c>
      <c r="F1093" s="45">
        <f t="shared" ref="F1093" si="829">(Z1094-Z1093)*1</f>
        <v>99</v>
      </c>
      <c r="G1093" s="79">
        <f t="shared" ref="G1093" si="830">C1093+D1093+F1093+E1093</f>
        <v>1865.0000000000437</v>
      </c>
      <c r="H1093" s="199">
        <v>1896</v>
      </c>
      <c r="I1093" s="199">
        <v>367</v>
      </c>
      <c r="J1093" s="200">
        <f t="shared" si="802"/>
        <v>2263</v>
      </c>
      <c r="K1093" s="201">
        <f t="shared" si="803"/>
        <v>397.99999999995634</v>
      </c>
      <c r="L1093" s="254">
        <v>211</v>
      </c>
      <c r="M1093" s="249">
        <v>0.39583333333333331</v>
      </c>
      <c r="N1093" s="235">
        <v>198337</v>
      </c>
      <c r="O1093" s="235">
        <v>102388</v>
      </c>
      <c r="P1093" s="235">
        <v>9540</v>
      </c>
      <c r="Q1093" s="235"/>
      <c r="R1093" s="235">
        <v>39141</v>
      </c>
      <c r="S1093" s="236">
        <v>9092.1</v>
      </c>
      <c r="T1093" s="236"/>
      <c r="U1093" s="236"/>
      <c r="V1093" s="235">
        <v>262387</v>
      </c>
      <c r="W1093" s="235">
        <v>121053</v>
      </c>
      <c r="X1093" s="235">
        <v>100285</v>
      </c>
      <c r="Y1093" s="235">
        <v>92778</v>
      </c>
      <c r="Z1093" s="235">
        <v>187734</v>
      </c>
    </row>
    <row r="1094" spans="1:26" ht="18" hidden="1" customHeight="1" x14ac:dyDescent="0.2">
      <c r="A1094" s="47">
        <f t="shared" si="768"/>
        <v>43945</v>
      </c>
      <c r="B1094" s="47" t="str">
        <f t="shared" si="731"/>
        <v>五</v>
      </c>
      <c r="C1094" s="48">
        <f t="shared" ref="C1094:C1096" si="831">(V1095-V1094)*1+(W1095-W1094)*32+(X1095-X1094)*12+(Y1095-Y1094)*6</f>
        <v>0</v>
      </c>
      <c r="D1094" s="84">
        <f t="shared" si="727"/>
        <v>0</v>
      </c>
      <c r="E1094" s="45">
        <f t="shared" si="728"/>
        <v>0</v>
      </c>
      <c r="F1094" s="45">
        <f t="shared" ref="F1094:F1096" si="832">(Z1095-Z1094)*1</f>
        <v>0</v>
      </c>
      <c r="G1094" s="79">
        <f t="shared" ref="G1094:G1096" si="833">C1094+D1094+F1094+E1094</f>
        <v>0</v>
      </c>
      <c r="H1094" s="199">
        <v>2375</v>
      </c>
      <c r="I1094" s="199">
        <v>375</v>
      </c>
      <c r="J1094" s="200">
        <f t="shared" si="802"/>
        <v>2750</v>
      </c>
      <c r="K1094" s="201">
        <f t="shared" si="803"/>
        <v>2750</v>
      </c>
      <c r="L1094" s="254">
        <v>297</v>
      </c>
      <c r="M1094" s="249">
        <v>0.51041666666666663</v>
      </c>
      <c r="N1094" s="235">
        <v>198337</v>
      </c>
      <c r="O1094" s="235">
        <v>102388</v>
      </c>
      <c r="P1094" s="235">
        <v>9545</v>
      </c>
      <c r="Q1094" s="235"/>
      <c r="R1094" s="235">
        <v>39161</v>
      </c>
      <c r="S1094" s="236">
        <v>9093.2000000000007</v>
      </c>
      <c r="T1094" s="236"/>
      <c r="U1094" s="236"/>
      <c r="V1094" s="235">
        <v>262541</v>
      </c>
      <c r="W1094" s="235">
        <v>121079</v>
      </c>
      <c r="X1094" s="235">
        <v>100334</v>
      </c>
      <c r="Y1094" s="235">
        <v>92778</v>
      </c>
      <c r="Z1094" s="235">
        <v>187833</v>
      </c>
    </row>
    <row r="1095" spans="1:26" ht="18" hidden="1" customHeight="1" x14ac:dyDescent="0.2">
      <c r="A1095" s="47">
        <f t="shared" si="768"/>
        <v>43946</v>
      </c>
      <c r="B1095" s="47" t="str">
        <f t="shared" si="731"/>
        <v>六</v>
      </c>
      <c r="C1095" s="48">
        <f t="shared" si="831"/>
        <v>0</v>
      </c>
      <c r="D1095" s="84">
        <f t="shared" si="727"/>
        <v>0</v>
      </c>
      <c r="E1095" s="45">
        <f t="shared" si="728"/>
        <v>0</v>
      </c>
      <c r="F1095" s="45">
        <f t="shared" si="832"/>
        <v>0</v>
      </c>
      <c r="G1095" s="79">
        <f t="shared" si="833"/>
        <v>0</v>
      </c>
      <c r="H1095" s="199">
        <v>0</v>
      </c>
      <c r="I1095" s="199">
        <f>449+298</f>
        <v>747</v>
      </c>
      <c r="J1095" s="200">
        <f t="shared" si="802"/>
        <v>747</v>
      </c>
      <c r="K1095" s="201">
        <f t="shared" si="803"/>
        <v>747</v>
      </c>
      <c r="L1095" s="254">
        <v>39</v>
      </c>
      <c r="M1095" s="249">
        <v>0.11458333333333333</v>
      </c>
      <c r="N1095" s="160">
        <v>198337</v>
      </c>
      <c r="O1095" s="160">
        <v>102388</v>
      </c>
      <c r="P1095" s="160">
        <v>9545</v>
      </c>
      <c r="Q1095" s="160"/>
      <c r="R1095" s="160">
        <v>39161</v>
      </c>
      <c r="S1095" s="161">
        <v>9093.2000000000007</v>
      </c>
      <c r="T1095" s="161"/>
      <c r="U1095" s="161"/>
      <c r="V1095" s="160">
        <v>262541</v>
      </c>
      <c r="W1095" s="160">
        <v>121079</v>
      </c>
      <c r="X1095" s="160">
        <v>100334</v>
      </c>
      <c r="Y1095" s="160">
        <v>92778</v>
      </c>
      <c r="Z1095" s="160">
        <v>187833</v>
      </c>
    </row>
    <row r="1096" spans="1:26" ht="18" hidden="1" customHeight="1" x14ac:dyDescent="0.2">
      <c r="A1096" s="47">
        <f t="shared" si="768"/>
        <v>43947</v>
      </c>
      <c r="B1096" s="47" t="str">
        <f t="shared" si="731"/>
        <v>日</v>
      </c>
      <c r="C1096" s="48">
        <f t="shared" si="831"/>
        <v>2382</v>
      </c>
      <c r="D1096" s="84">
        <f t="shared" si="727"/>
        <v>72</v>
      </c>
      <c r="E1096" s="45">
        <f t="shared" si="728"/>
        <v>2236.9999999998254</v>
      </c>
      <c r="F1096" s="45">
        <f t="shared" si="832"/>
        <v>282</v>
      </c>
      <c r="G1096" s="79">
        <f t="shared" si="833"/>
        <v>4972.9999999998254</v>
      </c>
      <c r="H1096" s="199">
        <v>0</v>
      </c>
      <c r="I1096" s="199">
        <v>1858</v>
      </c>
      <c r="J1096" s="200">
        <f t="shared" si="802"/>
        <v>1858</v>
      </c>
      <c r="K1096" s="201">
        <f t="shared" si="803"/>
        <v>-3114.9999999998254</v>
      </c>
      <c r="L1096" s="254">
        <v>156</v>
      </c>
      <c r="M1096" s="249">
        <v>0.44791666666666669</v>
      </c>
      <c r="N1096" s="160">
        <v>198337</v>
      </c>
      <c r="O1096" s="160">
        <v>102388</v>
      </c>
      <c r="P1096" s="160">
        <v>9545</v>
      </c>
      <c r="Q1096" s="160"/>
      <c r="R1096" s="160">
        <v>39161</v>
      </c>
      <c r="S1096" s="161">
        <v>9093.2000000000007</v>
      </c>
      <c r="T1096" s="161"/>
      <c r="U1096" s="161"/>
      <c r="V1096" s="160">
        <v>262541</v>
      </c>
      <c r="W1096" s="160">
        <v>121079</v>
      </c>
      <c r="X1096" s="160">
        <v>100334</v>
      </c>
      <c r="Y1096" s="160">
        <v>92778</v>
      </c>
      <c r="Z1096" s="160">
        <v>187833</v>
      </c>
    </row>
    <row r="1097" spans="1:26" ht="18" hidden="1" customHeight="1" x14ac:dyDescent="0.2">
      <c r="A1097" s="47">
        <f t="shared" si="768"/>
        <v>43948</v>
      </c>
      <c r="B1097" s="47" t="str">
        <f t="shared" si="731"/>
        <v>一</v>
      </c>
      <c r="C1097" s="48">
        <f t="shared" ref="C1097" si="834">(V1098-V1097)*1+(W1098-W1097)*32+(X1098-X1097)*12+(Y1098-Y1097)*6</f>
        <v>1463</v>
      </c>
      <c r="D1097" s="84">
        <f t="shared" si="727"/>
        <v>24</v>
      </c>
      <c r="E1097" s="45">
        <f t="shared" si="728"/>
        <v>731.00000000017462</v>
      </c>
      <c r="F1097" s="45">
        <f t="shared" ref="F1097" si="835">(Z1098-Z1097)*1</f>
        <v>96</v>
      </c>
      <c r="G1097" s="79">
        <f t="shared" ref="G1097" si="836">C1097+D1097+F1097+E1097</f>
        <v>2314.0000000001746</v>
      </c>
      <c r="H1097" s="199">
        <v>2091</v>
      </c>
      <c r="I1097" s="199">
        <v>317</v>
      </c>
      <c r="J1097" s="200">
        <f t="shared" si="802"/>
        <v>2408</v>
      </c>
      <c r="K1097" s="201">
        <f t="shared" si="803"/>
        <v>93.999999999825377</v>
      </c>
      <c r="L1097" s="254">
        <v>276</v>
      </c>
      <c r="M1097" s="249">
        <v>0.60416666666666663</v>
      </c>
      <c r="N1097" s="235">
        <v>198337</v>
      </c>
      <c r="O1097" s="235">
        <v>102388</v>
      </c>
      <c r="P1097" s="235">
        <v>9554</v>
      </c>
      <c r="Q1097" s="235"/>
      <c r="R1097" s="235">
        <v>39226</v>
      </c>
      <c r="S1097" s="236">
        <v>9111.2999999999993</v>
      </c>
      <c r="T1097" s="236"/>
      <c r="U1097" s="236"/>
      <c r="V1097" s="235">
        <v>262951</v>
      </c>
      <c r="W1097" s="235">
        <v>121117</v>
      </c>
      <c r="X1097" s="235">
        <v>100397</v>
      </c>
      <c r="Y1097" s="235">
        <v>92778</v>
      </c>
      <c r="Z1097" s="235">
        <v>188115</v>
      </c>
    </row>
    <row r="1098" spans="1:26" ht="18" hidden="1" customHeight="1" x14ac:dyDescent="0.2">
      <c r="A1098" s="47">
        <f t="shared" si="768"/>
        <v>43949</v>
      </c>
      <c r="B1098" s="47" t="str">
        <f t="shared" si="731"/>
        <v>二</v>
      </c>
      <c r="C1098" s="48">
        <f t="shared" ref="C1098" si="837">(V1099-V1098)*1+(W1099-W1098)*32+(X1099-X1098)*12+(Y1099-Y1098)*6</f>
        <v>1828</v>
      </c>
      <c r="D1098" s="84">
        <f t="shared" si="727"/>
        <v>32</v>
      </c>
      <c r="E1098" s="45">
        <f t="shared" si="728"/>
        <v>115.99999999991269</v>
      </c>
      <c r="F1098" s="45">
        <f t="shared" ref="F1098" si="838">(Z1099-Z1098)*1</f>
        <v>57</v>
      </c>
      <c r="G1098" s="79">
        <f t="shared" ref="G1098" si="839">C1098+D1098+F1098+E1098</f>
        <v>2032.9999999999127</v>
      </c>
      <c r="H1098" s="199">
        <v>1809</v>
      </c>
      <c r="I1098" s="199">
        <v>370</v>
      </c>
      <c r="J1098" s="200">
        <f t="shared" si="802"/>
        <v>2179</v>
      </c>
      <c r="K1098" s="201">
        <f t="shared" si="803"/>
        <v>146.00000000008731</v>
      </c>
      <c r="L1098" s="254">
        <v>185</v>
      </c>
      <c r="M1098" s="249">
        <v>0.6875</v>
      </c>
      <c r="N1098" s="235">
        <v>198337</v>
      </c>
      <c r="O1098" s="235">
        <v>102390</v>
      </c>
      <c r="P1098" s="235">
        <v>9557</v>
      </c>
      <c r="Q1098" s="235"/>
      <c r="R1098" s="235">
        <v>39249</v>
      </c>
      <c r="S1098" s="236">
        <v>9117.2000000000007</v>
      </c>
      <c r="T1098" s="236"/>
      <c r="U1098" s="236"/>
      <c r="V1098" s="235">
        <v>263102</v>
      </c>
      <c r="W1098" s="235">
        <v>121140</v>
      </c>
      <c r="X1098" s="235">
        <v>100445</v>
      </c>
      <c r="Y1098" s="235">
        <v>92778</v>
      </c>
      <c r="Z1098" s="235">
        <v>188211</v>
      </c>
    </row>
    <row r="1099" spans="1:26" ht="18" hidden="1" customHeight="1" x14ac:dyDescent="0.2">
      <c r="A1099" s="47">
        <f t="shared" si="768"/>
        <v>43950</v>
      </c>
      <c r="B1099" s="47" t="str">
        <f t="shared" si="731"/>
        <v>三</v>
      </c>
      <c r="C1099" s="48">
        <f t="shared" ref="C1099" si="840">(V1100-V1099)*1+(W1100-W1099)*32+(X1100-X1099)*12+(Y1100-Y1099)*6</f>
        <v>2159</v>
      </c>
      <c r="D1099" s="84">
        <f t="shared" si="727"/>
        <v>24</v>
      </c>
      <c r="E1099" s="45">
        <f t="shared" si="728"/>
        <v>897.99999999991269</v>
      </c>
      <c r="F1099" s="45">
        <f t="shared" ref="F1099" si="841">(Z1100-Z1099)*1</f>
        <v>108</v>
      </c>
      <c r="G1099" s="79">
        <f t="shared" ref="G1099" si="842">C1099+D1099+F1099+E1099</f>
        <v>3188.9999999999127</v>
      </c>
      <c r="H1099" s="199">
        <v>2921</v>
      </c>
      <c r="I1099" s="199">
        <v>363</v>
      </c>
      <c r="J1099" s="200">
        <f t="shared" si="802"/>
        <v>3284</v>
      </c>
      <c r="K1099" s="201">
        <f t="shared" si="803"/>
        <v>95.000000000087311</v>
      </c>
      <c r="L1099" s="254">
        <v>301</v>
      </c>
      <c r="M1099" s="249">
        <v>0.51041666666666663</v>
      </c>
      <c r="N1099" s="235">
        <v>198337</v>
      </c>
      <c r="O1099" s="235">
        <v>102390</v>
      </c>
      <c r="P1099" s="235">
        <v>9561</v>
      </c>
      <c r="Q1099" s="235"/>
      <c r="R1099" s="235">
        <v>39269</v>
      </c>
      <c r="S1099" s="236">
        <v>9118</v>
      </c>
      <c r="T1099" s="236"/>
      <c r="U1099" s="236"/>
      <c r="V1099" s="235">
        <v>263274</v>
      </c>
      <c r="W1099" s="235">
        <v>121167</v>
      </c>
      <c r="X1099" s="235">
        <v>100511</v>
      </c>
      <c r="Y1099" s="235">
        <v>92778</v>
      </c>
      <c r="Z1099" s="235">
        <v>188268</v>
      </c>
    </row>
    <row r="1100" spans="1:26" ht="18" hidden="1" customHeight="1" x14ac:dyDescent="0.2">
      <c r="A1100" s="47">
        <f t="shared" si="768"/>
        <v>43951</v>
      </c>
      <c r="B1100" s="47" t="str">
        <f t="shared" si="731"/>
        <v>四</v>
      </c>
      <c r="C1100" s="48">
        <f t="shared" ref="C1100:C1103" si="843">(V1101-V1100)*1+(W1101-W1100)*32+(X1101-X1100)*12+(Y1101-Y1100)*6</f>
        <v>0</v>
      </c>
      <c r="D1100" s="84">
        <f t="shared" si="727"/>
        <v>0</v>
      </c>
      <c r="E1100" s="45">
        <f t="shared" si="728"/>
        <v>0</v>
      </c>
      <c r="F1100" s="45">
        <f t="shared" ref="F1100:F1103" si="844">(Z1101-Z1100)*1</f>
        <v>0</v>
      </c>
      <c r="G1100" s="79">
        <f t="shared" ref="G1100:G1103" si="845">C1100+D1100+F1100+E1100</f>
        <v>0</v>
      </c>
      <c r="H1100" s="199">
        <v>1604</v>
      </c>
      <c r="I1100" s="199">
        <v>353</v>
      </c>
      <c r="J1100" s="200">
        <f t="shared" si="802"/>
        <v>1957</v>
      </c>
      <c r="K1100" s="201">
        <f t="shared" si="803"/>
        <v>1957</v>
      </c>
      <c r="L1100" s="254">
        <v>186</v>
      </c>
      <c r="M1100" s="249">
        <v>0.39583333333333331</v>
      </c>
      <c r="N1100" s="235">
        <v>198337</v>
      </c>
      <c r="O1100" s="235">
        <v>102390</v>
      </c>
      <c r="P1100" s="235">
        <v>9564</v>
      </c>
      <c r="Q1100" s="235"/>
      <c r="R1100" s="235">
        <v>39291</v>
      </c>
      <c r="S1100" s="236">
        <v>9125.2999999999993</v>
      </c>
      <c r="T1100" s="236"/>
      <c r="U1100" s="236"/>
      <c r="V1100" s="235">
        <v>263457</v>
      </c>
      <c r="W1100" s="235">
        <v>121201</v>
      </c>
      <c r="X1100" s="235">
        <v>100585</v>
      </c>
      <c r="Y1100" s="235">
        <v>92778</v>
      </c>
      <c r="Z1100" s="235">
        <v>188376</v>
      </c>
    </row>
    <row r="1101" spans="1:26" ht="18" hidden="1" customHeight="1" x14ac:dyDescent="0.2">
      <c r="A1101" s="47">
        <f t="shared" si="768"/>
        <v>43952</v>
      </c>
      <c r="B1101" s="47" t="str">
        <f t="shared" si="731"/>
        <v>五</v>
      </c>
      <c r="C1101" s="48">
        <f t="shared" si="843"/>
        <v>0</v>
      </c>
      <c r="D1101" s="84">
        <f t="shared" si="727"/>
        <v>0</v>
      </c>
      <c r="E1101" s="45">
        <f t="shared" si="728"/>
        <v>0</v>
      </c>
      <c r="F1101" s="45">
        <f t="shared" si="844"/>
        <v>0</v>
      </c>
      <c r="G1101" s="79">
        <f t="shared" si="845"/>
        <v>0</v>
      </c>
      <c r="H1101" s="199">
        <v>0</v>
      </c>
      <c r="I1101" s="199">
        <v>1451</v>
      </c>
      <c r="J1101" s="200">
        <f t="shared" si="802"/>
        <v>1451</v>
      </c>
      <c r="K1101" s="201">
        <f t="shared" si="803"/>
        <v>1451</v>
      </c>
      <c r="L1101" s="254">
        <v>150</v>
      </c>
      <c r="M1101" s="249">
        <v>0.57291666666666663</v>
      </c>
      <c r="N1101" s="160">
        <v>198337</v>
      </c>
      <c r="O1101" s="160">
        <v>102390</v>
      </c>
      <c r="P1101" s="160">
        <v>9564</v>
      </c>
      <c r="Q1101" s="160"/>
      <c r="R1101" s="160">
        <v>39291</v>
      </c>
      <c r="S1101" s="161">
        <v>9125.2999999999993</v>
      </c>
      <c r="T1101" s="161"/>
      <c r="U1101" s="161"/>
      <c r="V1101" s="160">
        <v>263457</v>
      </c>
      <c r="W1101" s="160">
        <v>121201</v>
      </c>
      <c r="X1101" s="160">
        <v>100585</v>
      </c>
      <c r="Y1101" s="160">
        <v>92778</v>
      </c>
      <c r="Z1101" s="160">
        <v>188376</v>
      </c>
    </row>
    <row r="1102" spans="1:26" ht="18" hidden="1" customHeight="1" x14ac:dyDescent="0.2">
      <c r="A1102" s="47">
        <f t="shared" si="768"/>
        <v>43953</v>
      </c>
      <c r="B1102" s="47" t="str">
        <f t="shared" si="731"/>
        <v>六</v>
      </c>
      <c r="C1102" s="48">
        <f t="shared" si="843"/>
        <v>0</v>
      </c>
      <c r="D1102" s="84">
        <f t="shared" si="727"/>
        <v>0</v>
      </c>
      <c r="E1102" s="45">
        <f t="shared" si="728"/>
        <v>0</v>
      </c>
      <c r="F1102" s="45">
        <f t="shared" si="844"/>
        <v>0</v>
      </c>
      <c r="G1102" s="79">
        <f t="shared" si="845"/>
        <v>0</v>
      </c>
      <c r="H1102" s="199">
        <v>0</v>
      </c>
      <c r="I1102" s="199">
        <f>633+249</f>
        <v>882</v>
      </c>
      <c r="J1102" s="200">
        <f t="shared" si="802"/>
        <v>882</v>
      </c>
      <c r="K1102" s="201">
        <f t="shared" si="803"/>
        <v>882</v>
      </c>
      <c r="L1102" s="254">
        <v>120</v>
      </c>
      <c r="M1102" s="249">
        <v>0.46875</v>
      </c>
      <c r="N1102" s="160">
        <v>198337</v>
      </c>
      <c r="O1102" s="160">
        <v>102390</v>
      </c>
      <c r="P1102" s="160">
        <v>9564</v>
      </c>
      <c r="Q1102" s="160"/>
      <c r="R1102" s="160">
        <v>39291</v>
      </c>
      <c r="S1102" s="161">
        <v>9125.2999999999993</v>
      </c>
      <c r="T1102" s="161"/>
      <c r="U1102" s="161"/>
      <c r="V1102" s="160">
        <v>263457</v>
      </c>
      <c r="W1102" s="160">
        <v>121201</v>
      </c>
      <c r="X1102" s="160">
        <v>100585</v>
      </c>
      <c r="Y1102" s="160">
        <v>92778</v>
      </c>
      <c r="Z1102" s="160">
        <v>188376</v>
      </c>
    </row>
    <row r="1103" spans="1:26" ht="18" hidden="1" customHeight="1" x14ac:dyDescent="0.2">
      <c r="A1103" s="47">
        <f t="shared" si="768"/>
        <v>43954</v>
      </c>
      <c r="B1103" s="47" t="str">
        <f t="shared" si="731"/>
        <v>日</v>
      </c>
      <c r="C1103" s="48">
        <f t="shared" si="843"/>
        <v>2752</v>
      </c>
      <c r="D1103" s="84">
        <f t="shared" si="727"/>
        <v>96</v>
      </c>
      <c r="E1103" s="45">
        <f t="shared" si="728"/>
        <v>2236.0000000001746</v>
      </c>
      <c r="F1103" s="45">
        <f t="shared" si="844"/>
        <v>255</v>
      </c>
      <c r="G1103" s="79">
        <f t="shared" si="845"/>
        <v>5339.0000000001746</v>
      </c>
      <c r="H1103" s="199">
        <v>0</v>
      </c>
      <c r="I1103" s="199">
        <v>1546</v>
      </c>
      <c r="J1103" s="200">
        <f t="shared" si="802"/>
        <v>1546</v>
      </c>
      <c r="K1103" s="201">
        <f t="shared" si="803"/>
        <v>-3793.0000000001746</v>
      </c>
      <c r="L1103" s="254">
        <v>144</v>
      </c>
      <c r="M1103" s="249">
        <v>0.51041666666666663</v>
      </c>
      <c r="N1103" s="160">
        <v>198337</v>
      </c>
      <c r="O1103" s="160">
        <v>102390</v>
      </c>
      <c r="P1103" s="160">
        <v>9564</v>
      </c>
      <c r="Q1103" s="160"/>
      <c r="R1103" s="160">
        <v>39291</v>
      </c>
      <c r="S1103" s="161">
        <v>9125.2999999999993</v>
      </c>
      <c r="T1103" s="161"/>
      <c r="U1103" s="161"/>
      <c r="V1103" s="160">
        <v>263457</v>
      </c>
      <c r="W1103" s="160">
        <v>121201</v>
      </c>
      <c r="X1103" s="160">
        <v>100585</v>
      </c>
      <c r="Y1103" s="160">
        <v>92778</v>
      </c>
      <c r="Z1103" s="160">
        <v>188376</v>
      </c>
    </row>
    <row r="1104" spans="1:26" ht="18" hidden="1" customHeight="1" x14ac:dyDescent="0.2">
      <c r="A1104" s="47">
        <f t="shared" si="768"/>
        <v>43955</v>
      </c>
      <c r="B1104" s="47" t="str">
        <f t="shared" si="731"/>
        <v>一</v>
      </c>
      <c r="C1104" s="48">
        <f t="shared" ref="C1104" si="846">(V1105-V1104)*1+(W1105-W1104)*32+(X1105-X1104)*12+(Y1105-Y1104)*6</f>
        <v>2540</v>
      </c>
      <c r="D1104" s="84">
        <f t="shared" si="727"/>
        <v>48</v>
      </c>
      <c r="E1104" s="45">
        <f t="shared" si="728"/>
        <v>804</v>
      </c>
      <c r="F1104" s="45">
        <f t="shared" ref="F1104" si="847">(Z1105-Z1104)*1</f>
        <v>71</v>
      </c>
      <c r="G1104" s="79">
        <f t="shared" ref="G1104" si="848">C1104+D1104+F1104+E1104</f>
        <v>3463</v>
      </c>
      <c r="H1104" s="199">
        <v>3243</v>
      </c>
      <c r="I1104" s="199">
        <v>318</v>
      </c>
      <c r="J1104" s="200">
        <f t="shared" si="802"/>
        <v>3561</v>
      </c>
      <c r="K1104" s="201">
        <f t="shared" si="803"/>
        <v>98</v>
      </c>
      <c r="L1104" s="254">
        <v>338</v>
      </c>
      <c r="M1104" s="249">
        <v>0.51041666666666663</v>
      </c>
      <c r="N1104" s="235">
        <v>198337</v>
      </c>
      <c r="O1104" s="235">
        <v>102390</v>
      </c>
      <c r="P1104" s="235">
        <v>9576</v>
      </c>
      <c r="Q1104" s="235"/>
      <c r="R1104" s="235">
        <v>39379</v>
      </c>
      <c r="S1104" s="236">
        <v>9143.2000000000007</v>
      </c>
      <c r="T1104" s="236"/>
      <c r="U1104" s="236"/>
      <c r="V1104" s="235">
        <v>263993</v>
      </c>
      <c r="W1104" s="235">
        <v>121253</v>
      </c>
      <c r="X1104" s="235">
        <v>100631</v>
      </c>
      <c r="Y1104" s="235">
        <v>92778</v>
      </c>
      <c r="Z1104" s="235">
        <v>188631</v>
      </c>
    </row>
    <row r="1105" spans="1:26" ht="18" hidden="1" customHeight="1" x14ac:dyDescent="0.2">
      <c r="A1105" s="47">
        <f t="shared" si="768"/>
        <v>43956</v>
      </c>
      <c r="B1105" s="47" t="str">
        <f t="shared" si="731"/>
        <v>二</v>
      </c>
      <c r="C1105" s="48">
        <f t="shared" ref="C1105" si="849">(V1106-V1105)*1+(W1106-W1105)*32+(X1106-X1105)*12+(Y1106-Y1105)*6</f>
        <v>2217</v>
      </c>
      <c r="D1105" s="84">
        <f t="shared" si="727"/>
        <v>200</v>
      </c>
      <c r="E1105" s="45">
        <f t="shared" si="728"/>
        <v>105.99999999986903</v>
      </c>
      <c r="F1105" s="45">
        <f t="shared" ref="F1105" si="850">(Z1106-Z1105)*1</f>
        <v>85</v>
      </c>
      <c r="G1105" s="79">
        <f t="shared" ref="G1105" si="851">C1105+D1105+F1105+E1105</f>
        <v>2607.999999999869</v>
      </c>
      <c r="H1105" s="199">
        <v>2215</v>
      </c>
      <c r="I1105" s="199">
        <v>339</v>
      </c>
      <c r="J1105" s="200">
        <f t="shared" si="802"/>
        <v>2554</v>
      </c>
      <c r="K1105" s="201">
        <f t="shared" si="803"/>
        <v>-53.999999999869033</v>
      </c>
      <c r="L1105" s="254">
        <v>237</v>
      </c>
      <c r="M1105" s="249">
        <v>0.40625</v>
      </c>
      <c r="N1105" s="235">
        <v>198337</v>
      </c>
      <c r="O1105" s="235">
        <v>102390</v>
      </c>
      <c r="P1105" s="235">
        <v>9582</v>
      </c>
      <c r="Q1105" s="235"/>
      <c r="R1105" s="235">
        <v>39403</v>
      </c>
      <c r="S1105" s="236">
        <v>9149.7000000000007</v>
      </c>
      <c r="T1105" s="236"/>
      <c r="U1105" s="236"/>
      <c r="V1105" s="235">
        <v>264201</v>
      </c>
      <c r="W1105" s="235">
        <v>121297</v>
      </c>
      <c r="X1105" s="235">
        <v>100708</v>
      </c>
      <c r="Y1105" s="235">
        <v>92778</v>
      </c>
      <c r="Z1105" s="235">
        <v>188702</v>
      </c>
    </row>
    <row r="1106" spans="1:26" ht="18" hidden="1" customHeight="1" x14ac:dyDescent="0.2">
      <c r="A1106" s="47">
        <f t="shared" si="768"/>
        <v>43957</v>
      </c>
      <c r="B1106" s="47" t="str">
        <f t="shared" si="731"/>
        <v>三</v>
      </c>
      <c r="C1106" s="48">
        <f t="shared" ref="C1106:C1107" si="852">(V1107-V1106)*1+(W1107-W1106)*32+(X1107-X1106)*12+(Y1107-Y1106)*6</f>
        <v>0</v>
      </c>
      <c r="D1106" s="84">
        <f t="shared" si="727"/>
        <v>0</v>
      </c>
      <c r="E1106" s="45">
        <f t="shared" si="728"/>
        <v>0</v>
      </c>
      <c r="F1106" s="45">
        <f t="shared" ref="F1106:F1107" si="853">(Z1107-Z1106)*1</f>
        <v>0</v>
      </c>
      <c r="G1106" s="79">
        <f t="shared" ref="G1106:G1107" si="854">C1106+D1106+F1106+E1106</f>
        <v>0</v>
      </c>
      <c r="H1106" s="199">
        <v>2837</v>
      </c>
      <c r="I1106" s="199">
        <v>377</v>
      </c>
      <c r="J1106" s="200">
        <f t="shared" si="802"/>
        <v>3214</v>
      </c>
      <c r="K1106" s="201">
        <f t="shared" si="803"/>
        <v>3214</v>
      </c>
      <c r="L1106" s="254">
        <v>315</v>
      </c>
      <c r="M1106" s="269" t="s">
        <v>160</v>
      </c>
      <c r="N1106" s="235">
        <v>198357</v>
      </c>
      <c r="O1106" s="235">
        <v>102390</v>
      </c>
      <c r="P1106" s="235">
        <v>9587</v>
      </c>
      <c r="Q1106" s="235"/>
      <c r="R1106" s="235">
        <v>39425</v>
      </c>
      <c r="S1106" s="236">
        <v>9150.4</v>
      </c>
      <c r="T1106" s="236"/>
      <c r="U1106" s="236"/>
      <c r="V1106" s="235">
        <v>264414</v>
      </c>
      <c r="W1106" s="235">
        <v>121339</v>
      </c>
      <c r="X1106" s="235">
        <v>100763</v>
      </c>
      <c r="Y1106" s="235">
        <v>92778</v>
      </c>
      <c r="Z1106" s="235">
        <v>188787</v>
      </c>
    </row>
    <row r="1107" spans="1:26" ht="18" hidden="1" customHeight="1" x14ac:dyDescent="0.2">
      <c r="A1107" s="47">
        <f t="shared" si="768"/>
        <v>43958</v>
      </c>
      <c r="B1107" s="47" t="str">
        <f t="shared" si="731"/>
        <v>四</v>
      </c>
      <c r="C1107" s="48">
        <f t="shared" si="852"/>
        <v>3806</v>
      </c>
      <c r="D1107" s="84">
        <f t="shared" si="727"/>
        <v>96</v>
      </c>
      <c r="E1107" s="45">
        <f t="shared" si="728"/>
        <v>1230.9999999999563</v>
      </c>
      <c r="F1107" s="45">
        <f t="shared" si="853"/>
        <v>140</v>
      </c>
      <c r="G1107" s="79">
        <f t="shared" si="854"/>
        <v>5272.9999999999563</v>
      </c>
      <c r="H1107" s="199">
        <v>1890</v>
      </c>
      <c r="I1107" s="199">
        <v>378</v>
      </c>
      <c r="J1107" s="200">
        <f t="shared" si="802"/>
        <v>2268</v>
      </c>
      <c r="K1107" s="201">
        <f t="shared" si="803"/>
        <v>-3004.9999999999563</v>
      </c>
      <c r="L1107" s="254">
        <v>203</v>
      </c>
      <c r="M1107" s="249">
        <v>0.40625</v>
      </c>
      <c r="N1107" s="153">
        <v>198357</v>
      </c>
      <c r="O1107" s="153">
        <v>102390</v>
      </c>
      <c r="P1107" s="153">
        <v>9587</v>
      </c>
      <c r="Q1107" s="153"/>
      <c r="R1107" s="153">
        <v>39425</v>
      </c>
      <c r="S1107" s="154">
        <v>9150.4</v>
      </c>
      <c r="T1107" s="154"/>
      <c r="U1107" s="154"/>
      <c r="V1107" s="153">
        <v>264414</v>
      </c>
      <c r="W1107" s="153">
        <v>121339</v>
      </c>
      <c r="X1107" s="153">
        <v>100763</v>
      </c>
      <c r="Y1107" s="153">
        <v>92778</v>
      </c>
      <c r="Z1107" s="153">
        <v>188787</v>
      </c>
    </row>
    <row r="1108" spans="1:26" ht="18" hidden="1" customHeight="1" x14ac:dyDescent="0.2">
      <c r="A1108" s="47">
        <f t="shared" si="768"/>
        <v>43959</v>
      </c>
      <c r="B1108" s="47" t="str">
        <f t="shared" si="731"/>
        <v>五</v>
      </c>
      <c r="C1108" s="48">
        <f t="shared" ref="C1108:C1109" si="855">(V1109-V1108)*1+(W1109-W1108)*32+(X1109-X1108)*12+(Y1109-Y1108)*6</f>
        <v>0</v>
      </c>
      <c r="D1108" s="84">
        <f t="shared" si="727"/>
        <v>0</v>
      </c>
      <c r="E1108" s="45">
        <f t="shared" si="728"/>
        <v>0</v>
      </c>
      <c r="F1108" s="45">
        <f t="shared" ref="F1108:F1109" si="856">(Z1109-Z1108)*1</f>
        <v>0</v>
      </c>
      <c r="G1108" s="79">
        <f t="shared" ref="G1108:G1109" si="857">C1108+D1108+F1108+E1108</f>
        <v>0</v>
      </c>
      <c r="H1108" s="199">
        <v>2715</v>
      </c>
      <c r="I1108" s="199">
        <v>349</v>
      </c>
      <c r="J1108" s="200">
        <f t="shared" si="802"/>
        <v>3064</v>
      </c>
      <c r="K1108" s="201">
        <f t="shared" si="803"/>
        <v>3064</v>
      </c>
      <c r="L1108" s="254">
        <v>319</v>
      </c>
      <c r="M1108" s="249">
        <v>0.57291666666666663</v>
      </c>
      <c r="N1108" s="235">
        <v>198357</v>
      </c>
      <c r="O1108" s="235">
        <v>102390</v>
      </c>
      <c r="P1108" s="235">
        <v>9599</v>
      </c>
      <c r="Q1108" s="235"/>
      <c r="R1108" s="235">
        <v>39468</v>
      </c>
      <c r="S1108" s="236">
        <v>9160.2999999999993</v>
      </c>
      <c r="T1108" s="236"/>
      <c r="U1108" s="236"/>
      <c r="V1108" s="235">
        <v>264800</v>
      </c>
      <c r="W1108" s="235">
        <v>121408</v>
      </c>
      <c r="X1108" s="235">
        <v>100864</v>
      </c>
      <c r="Y1108" s="235">
        <v>92778</v>
      </c>
      <c r="Z1108" s="235">
        <v>188927</v>
      </c>
    </row>
    <row r="1109" spans="1:26" ht="18" hidden="1" customHeight="1" x14ac:dyDescent="0.2">
      <c r="A1109" s="47">
        <f t="shared" si="768"/>
        <v>43960</v>
      </c>
      <c r="B1109" s="47" t="str">
        <f t="shared" si="731"/>
        <v>六</v>
      </c>
      <c r="C1109" s="48">
        <f t="shared" si="855"/>
        <v>0</v>
      </c>
      <c r="D1109" s="84">
        <f t="shared" ref="D1109:D1172" si="858">(N1110-N1109)*8+(P1110-P1109)*8</f>
        <v>0</v>
      </c>
      <c r="E1109" s="45">
        <f t="shared" ref="E1109:E1172" si="859">(R1110-R1109)*1+(S1110-S1109)*120</f>
        <v>0</v>
      </c>
      <c r="F1109" s="45">
        <f t="shared" si="856"/>
        <v>0</v>
      </c>
      <c r="G1109" s="79">
        <f t="shared" si="857"/>
        <v>0</v>
      </c>
      <c r="H1109" s="199">
        <v>0</v>
      </c>
      <c r="I1109" s="199">
        <f>798+286</f>
        <v>1084</v>
      </c>
      <c r="J1109" s="200">
        <f t="shared" si="802"/>
        <v>1084</v>
      </c>
      <c r="K1109" s="201">
        <f t="shared" si="803"/>
        <v>1084</v>
      </c>
      <c r="L1109" s="254">
        <v>150</v>
      </c>
      <c r="M1109" s="249">
        <v>0.47916666666666669</v>
      </c>
      <c r="N1109" s="160">
        <v>198357</v>
      </c>
      <c r="O1109" s="160">
        <v>102390</v>
      </c>
      <c r="P1109" s="160">
        <v>9599</v>
      </c>
      <c r="Q1109" s="160"/>
      <c r="R1109" s="160">
        <v>39468</v>
      </c>
      <c r="S1109" s="161">
        <v>9160.2999999999993</v>
      </c>
      <c r="T1109" s="161"/>
      <c r="U1109" s="161"/>
      <c r="V1109" s="160">
        <v>264800</v>
      </c>
      <c r="W1109" s="160">
        <v>121408</v>
      </c>
      <c r="X1109" s="160">
        <v>100864</v>
      </c>
      <c r="Y1109" s="160">
        <v>92778</v>
      </c>
      <c r="Z1109" s="160">
        <v>188927</v>
      </c>
    </row>
    <row r="1110" spans="1:26" ht="18" hidden="1" customHeight="1" x14ac:dyDescent="0.2">
      <c r="A1110" s="47">
        <f t="shared" si="768"/>
        <v>43961</v>
      </c>
      <c r="B1110" s="47" t="str">
        <f t="shared" ref="B1110:B1173" si="860">B1103</f>
        <v>日</v>
      </c>
      <c r="C1110" s="48">
        <f t="shared" ref="C1110" si="861">(V1111-V1110)*1+(W1111-W1110)*32+(X1111-X1110)*12+(Y1111-Y1110)*6</f>
        <v>2700</v>
      </c>
      <c r="D1110" s="84">
        <f t="shared" si="858"/>
        <v>48</v>
      </c>
      <c r="E1110" s="45">
        <f t="shared" si="859"/>
        <v>2387.000000000131</v>
      </c>
      <c r="F1110" s="45">
        <f t="shared" ref="F1110" si="862">(Z1111-Z1110)*1</f>
        <v>240</v>
      </c>
      <c r="G1110" s="79">
        <f t="shared" ref="G1110" si="863">C1110+D1110+F1110+E1110</f>
        <v>5375.000000000131</v>
      </c>
      <c r="H1110" s="199">
        <v>0</v>
      </c>
      <c r="I1110" s="199">
        <v>1691</v>
      </c>
      <c r="J1110" s="200">
        <f t="shared" si="802"/>
        <v>1691</v>
      </c>
      <c r="K1110" s="201">
        <f t="shared" si="803"/>
        <v>-3684.000000000131</v>
      </c>
      <c r="L1110" s="254">
        <v>156</v>
      </c>
      <c r="M1110" s="249">
        <v>0.55208333333333337</v>
      </c>
      <c r="N1110" s="160">
        <v>198357</v>
      </c>
      <c r="O1110" s="160">
        <v>102390</v>
      </c>
      <c r="P1110" s="160">
        <v>9599</v>
      </c>
      <c r="Q1110" s="160"/>
      <c r="R1110" s="160">
        <v>39468</v>
      </c>
      <c r="S1110" s="161">
        <v>9160.2999999999993</v>
      </c>
      <c r="T1110" s="161"/>
      <c r="U1110" s="161"/>
      <c r="V1110" s="160">
        <v>264800</v>
      </c>
      <c r="W1110" s="160">
        <v>121408</v>
      </c>
      <c r="X1110" s="160">
        <v>100864</v>
      </c>
      <c r="Y1110" s="160">
        <v>92778</v>
      </c>
      <c r="Z1110" s="160">
        <v>188927</v>
      </c>
    </row>
    <row r="1111" spans="1:26" ht="18" hidden="1" customHeight="1" x14ac:dyDescent="0.2">
      <c r="A1111" s="47">
        <f t="shared" si="768"/>
        <v>43962</v>
      </c>
      <c r="B1111" s="47" t="str">
        <f t="shared" si="860"/>
        <v>一</v>
      </c>
      <c r="C1111" s="48">
        <f t="shared" ref="C1111" si="864">(V1112-V1111)*1+(W1112-W1111)*32+(X1112-X1111)*12+(Y1112-Y1111)*6</f>
        <v>1712</v>
      </c>
      <c r="D1111" s="84">
        <f t="shared" si="858"/>
        <v>64</v>
      </c>
      <c r="E1111" s="45">
        <f t="shared" si="859"/>
        <v>797.99999999995634</v>
      </c>
      <c r="F1111" s="45">
        <f t="shared" ref="F1111" si="865">(Z1112-Z1111)*1</f>
        <v>74</v>
      </c>
      <c r="G1111" s="79">
        <f t="shared" ref="G1111" si="866">C1111+D1111+F1111+E1111</f>
        <v>2647.9999999999563</v>
      </c>
      <c r="H1111" s="199">
        <v>2364</v>
      </c>
      <c r="I1111" s="199">
        <v>353</v>
      </c>
      <c r="J1111" s="200">
        <f t="shared" si="802"/>
        <v>2717</v>
      </c>
      <c r="K1111" s="201">
        <f t="shared" si="803"/>
        <v>69.000000000043656</v>
      </c>
      <c r="L1111" s="254">
        <v>305</v>
      </c>
      <c r="M1111" s="249">
        <v>0.45833333333333331</v>
      </c>
      <c r="N1111" s="235">
        <v>198357</v>
      </c>
      <c r="O1111" s="235">
        <v>102390</v>
      </c>
      <c r="P1111" s="235">
        <v>9605</v>
      </c>
      <c r="Q1111" s="235"/>
      <c r="R1111" s="235">
        <v>39539</v>
      </c>
      <c r="S1111" s="236">
        <v>9179.6</v>
      </c>
      <c r="T1111" s="236"/>
      <c r="U1111" s="236"/>
      <c r="V1111" s="235">
        <v>265332</v>
      </c>
      <c r="W1111" s="235">
        <v>121460</v>
      </c>
      <c r="X1111" s="235">
        <v>100906</v>
      </c>
      <c r="Y1111" s="235">
        <v>92778</v>
      </c>
      <c r="Z1111" s="235">
        <v>189167</v>
      </c>
    </row>
    <row r="1112" spans="1:26" ht="18" hidden="1" customHeight="1" x14ac:dyDescent="0.2">
      <c r="A1112" s="47">
        <f t="shared" si="768"/>
        <v>43963</v>
      </c>
      <c r="B1112" s="47" t="str">
        <f t="shared" si="860"/>
        <v>二</v>
      </c>
      <c r="C1112" s="48">
        <f t="shared" ref="C1112" si="867">(V1113-V1112)*1+(W1113-W1112)*32+(X1113-X1112)*12+(Y1113-Y1112)*6</f>
        <v>1426</v>
      </c>
      <c r="D1112" s="84">
        <f t="shared" si="858"/>
        <v>56</v>
      </c>
      <c r="E1112" s="45">
        <f t="shared" si="859"/>
        <v>181.99999999995634</v>
      </c>
      <c r="F1112" s="45">
        <f t="shared" ref="F1112" si="868">(Z1113-Z1112)*1</f>
        <v>64</v>
      </c>
      <c r="G1112" s="79">
        <f t="shared" ref="G1112" si="869">C1112+D1112+F1112+E1112</f>
        <v>1727.9999999999563</v>
      </c>
      <c r="H1112" s="199">
        <v>1519</v>
      </c>
      <c r="I1112" s="199">
        <v>343</v>
      </c>
      <c r="J1112" s="200">
        <f t="shared" si="802"/>
        <v>1862</v>
      </c>
      <c r="K1112" s="201">
        <f t="shared" si="803"/>
        <v>134.00000000004366</v>
      </c>
      <c r="L1112" s="254">
        <v>190</v>
      </c>
      <c r="M1112" s="249">
        <v>0.54166666666666663</v>
      </c>
      <c r="N1112" s="235">
        <v>198357</v>
      </c>
      <c r="O1112" s="235">
        <v>102390</v>
      </c>
      <c r="P1112" s="235">
        <v>9613</v>
      </c>
      <c r="Q1112" s="235"/>
      <c r="R1112" s="235">
        <v>39569</v>
      </c>
      <c r="S1112" s="236">
        <v>9186</v>
      </c>
      <c r="T1112" s="236"/>
      <c r="U1112" s="236"/>
      <c r="V1112" s="235">
        <v>265524</v>
      </c>
      <c r="W1112" s="235">
        <v>121491</v>
      </c>
      <c r="X1112" s="235">
        <v>100950</v>
      </c>
      <c r="Y1112" s="235">
        <v>92778</v>
      </c>
      <c r="Z1112" s="235">
        <v>189241</v>
      </c>
    </row>
    <row r="1113" spans="1:26" ht="18" hidden="1" customHeight="1" x14ac:dyDescent="0.2">
      <c r="A1113" s="47">
        <f t="shared" si="768"/>
        <v>43964</v>
      </c>
      <c r="B1113" s="47" t="str">
        <f t="shared" si="860"/>
        <v>三</v>
      </c>
      <c r="C1113" s="48">
        <f t="shared" ref="C1113" si="870">(V1114-V1113)*1+(W1114-W1113)*32+(X1114-X1113)*12+(Y1114-Y1113)*6</f>
        <v>1385</v>
      </c>
      <c r="D1113" s="84">
        <f t="shared" si="858"/>
        <v>32</v>
      </c>
      <c r="E1113" s="45">
        <f t="shared" si="859"/>
        <v>995.00000000004366</v>
      </c>
      <c r="F1113" s="45">
        <f t="shared" ref="F1113" si="871">(Z1114-Z1113)*1</f>
        <v>85</v>
      </c>
      <c r="G1113" s="79">
        <f t="shared" ref="G1113" si="872">C1113+D1113+F1113+E1113</f>
        <v>2497.0000000000437</v>
      </c>
      <c r="H1113" s="199">
        <v>2286</v>
      </c>
      <c r="I1113" s="199">
        <v>336</v>
      </c>
      <c r="J1113" s="200">
        <f t="shared" si="802"/>
        <v>2622</v>
      </c>
      <c r="K1113" s="201">
        <f t="shared" si="803"/>
        <v>124.99999999995634</v>
      </c>
      <c r="L1113" s="254">
        <v>265</v>
      </c>
      <c r="M1113" s="249">
        <v>0.54166666666666663</v>
      </c>
      <c r="N1113" s="235">
        <v>198357</v>
      </c>
      <c r="O1113" s="235">
        <v>102390</v>
      </c>
      <c r="P1113" s="235">
        <v>9620</v>
      </c>
      <c r="Q1113" s="235"/>
      <c r="R1113" s="235">
        <v>39583</v>
      </c>
      <c r="S1113" s="236">
        <v>9187.4</v>
      </c>
      <c r="T1113" s="236"/>
      <c r="U1113" s="236"/>
      <c r="V1113" s="235">
        <v>265702</v>
      </c>
      <c r="W1113" s="235">
        <v>121515</v>
      </c>
      <c r="X1113" s="235">
        <v>100990</v>
      </c>
      <c r="Y1113" s="235">
        <v>92778</v>
      </c>
      <c r="Z1113" s="235">
        <v>189305</v>
      </c>
    </row>
    <row r="1114" spans="1:26" ht="18" hidden="1" customHeight="1" x14ac:dyDescent="0.2">
      <c r="A1114" s="47">
        <f t="shared" si="768"/>
        <v>43965</v>
      </c>
      <c r="B1114" s="47" t="str">
        <f t="shared" si="860"/>
        <v>四</v>
      </c>
      <c r="C1114" s="48">
        <f t="shared" ref="C1114" si="873">(V1115-V1114)*1+(W1115-W1114)*32+(X1115-X1114)*12+(Y1115-Y1114)*6</f>
        <v>1501</v>
      </c>
      <c r="D1114" s="84">
        <f t="shared" si="858"/>
        <v>32</v>
      </c>
      <c r="E1114" s="45">
        <f t="shared" si="859"/>
        <v>165.00000000008731</v>
      </c>
      <c r="F1114" s="45">
        <f t="shared" ref="F1114" si="874">(Z1115-Z1114)*1</f>
        <v>71</v>
      </c>
      <c r="G1114" s="79">
        <f t="shared" ref="G1114" si="875">C1114+D1114+F1114+E1114</f>
        <v>1769.0000000000873</v>
      </c>
      <c r="H1114" s="199">
        <v>1539</v>
      </c>
      <c r="I1114" s="199">
        <v>326</v>
      </c>
      <c r="J1114" s="200">
        <f t="shared" si="802"/>
        <v>1865</v>
      </c>
      <c r="K1114" s="201">
        <f t="shared" si="803"/>
        <v>95.999999999912689</v>
      </c>
      <c r="L1114" s="254">
        <v>192</v>
      </c>
      <c r="M1114" s="249">
        <v>0.42708333333333331</v>
      </c>
      <c r="N1114" s="235">
        <v>198357</v>
      </c>
      <c r="O1114" s="235">
        <v>102390</v>
      </c>
      <c r="P1114" s="235">
        <v>9624</v>
      </c>
      <c r="Q1114" s="235"/>
      <c r="R1114" s="235">
        <v>39606</v>
      </c>
      <c r="S1114" s="236">
        <v>9195.5</v>
      </c>
      <c r="T1114" s="236"/>
      <c r="U1114" s="236"/>
      <c r="V1114" s="235">
        <v>265887</v>
      </c>
      <c r="W1114" s="235">
        <v>121539</v>
      </c>
      <c r="X1114" s="235">
        <v>101026</v>
      </c>
      <c r="Y1114" s="235">
        <v>92778</v>
      </c>
      <c r="Z1114" s="235">
        <v>189390</v>
      </c>
    </row>
    <row r="1115" spans="1:26" ht="18" hidden="1" customHeight="1" x14ac:dyDescent="0.2">
      <c r="A1115" s="47">
        <f t="shared" si="768"/>
        <v>43966</v>
      </c>
      <c r="B1115" s="47" t="str">
        <f t="shared" si="860"/>
        <v>五</v>
      </c>
      <c r="C1115" s="48">
        <f t="shared" ref="C1115:C1117" si="876">(V1116-V1115)*1+(W1116-W1115)*32+(X1116-X1115)*12+(Y1116-Y1115)*6</f>
        <v>0</v>
      </c>
      <c r="D1115" s="84">
        <f t="shared" si="858"/>
        <v>0</v>
      </c>
      <c r="E1115" s="45">
        <f t="shared" si="859"/>
        <v>0</v>
      </c>
      <c r="F1115" s="45">
        <f t="shared" ref="F1115:F1117" si="877">(Z1116-Z1115)*1</f>
        <v>0</v>
      </c>
      <c r="G1115" s="79">
        <f t="shared" ref="G1115:G1117" si="878">C1115+D1115+F1115+E1115</f>
        <v>0</v>
      </c>
      <c r="H1115" s="199">
        <v>2423</v>
      </c>
      <c r="I1115" s="199">
        <v>335</v>
      </c>
      <c r="J1115" s="200">
        <f t="shared" si="802"/>
        <v>2758</v>
      </c>
      <c r="K1115" s="201">
        <f t="shared" si="803"/>
        <v>2758</v>
      </c>
      <c r="L1115" s="254">
        <v>278</v>
      </c>
      <c r="M1115" s="249">
        <v>0.46875</v>
      </c>
      <c r="N1115" s="235">
        <v>198357</v>
      </c>
      <c r="O1115" s="235">
        <v>102390</v>
      </c>
      <c r="P1115" s="235">
        <v>9628</v>
      </c>
      <c r="Q1115" s="235"/>
      <c r="R1115" s="235">
        <v>39627</v>
      </c>
      <c r="S1115" s="236">
        <v>9196.7000000000007</v>
      </c>
      <c r="T1115" s="236"/>
      <c r="U1115" s="236"/>
      <c r="V1115" s="235">
        <v>266080</v>
      </c>
      <c r="W1115" s="235">
        <v>121569</v>
      </c>
      <c r="X1115" s="235">
        <v>101055</v>
      </c>
      <c r="Y1115" s="235">
        <v>92778</v>
      </c>
      <c r="Z1115" s="235">
        <v>189461</v>
      </c>
    </row>
    <row r="1116" spans="1:26" ht="18" hidden="1" customHeight="1" x14ac:dyDescent="0.2">
      <c r="A1116" s="47">
        <f t="shared" si="768"/>
        <v>43967</v>
      </c>
      <c r="B1116" s="47" t="str">
        <f t="shared" si="860"/>
        <v>六</v>
      </c>
      <c r="C1116" s="48">
        <f t="shared" si="876"/>
        <v>0</v>
      </c>
      <c r="D1116" s="84">
        <f t="shared" si="858"/>
        <v>0</v>
      </c>
      <c r="E1116" s="45">
        <f t="shared" si="859"/>
        <v>0</v>
      </c>
      <c r="F1116" s="45">
        <f t="shared" si="877"/>
        <v>0</v>
      </c>
      <c r="G1116" s="79">
        <f t="shared" si="878"/>
        <v>0</v>
      </c>
      <c r="H1116" s="199">
        <v>0</v>
      </c>
      <c r="I1116" s="199">
        <f>953+280</f>
        <v>1233</v>
      </c>
      <c r="J1116" s="200">
        <f t="shared" ref="J1116:J1136" si="879">H1116+I1116</f>
        <v>1233</v>
      </c>
      <c r="K1116" s="201">
        <f t="shared" ref="K1116:K1136" si="880">J1116-G1116</f>
        <v>1233</v>
      </c>
      <c r="L1116" s="254">
        <v>130</v>
      </c>
      <c r="M1116" s="249" t="s">
        <v>161</v>
      </c>
      <c r="N1116" s="153">
        <v>198357</v>
      </c>
      <c r="O1116" s="153">
        <v>102390</v>
      </c>
      <c r="P1116" s="153">
        <v>9628</v>
      </c>
      <c r="Q1116" s="153"/>
      <c r="R1116" s="153">
        <v>39627</v>
      </c>
      <c r="S1116" s="154">
        <v>9196.7000000000007</v>
      </c>
      <c r="T1116" s="154"/>
      <c r="U1116" s="154"/>
      <c r="V1116" s="153">
        <v>266080</v>
      </c>
      <c r="W1116" s="153">
        <v>121569</v>
      </c>
      <c r="X1116" s="153">
        <v>101055</v>
      </c>
      <c r="Y1116" s="153">
        <v>92778</v>
      </c>
      <c r="Z1116" s="153">
        <v>189461</v>
      </c>
    </row>
    <row r="1117" spans="1:26" ht="18" hidden="1" customHeight="1" x14ac:dyDescent="0.2">
      <c r="A1117" s="47">
        <f t="shared" si="768"/>
        <v>43968</v>
      </c>
      <c r="B1117" s="47" t="str">
        <f t="shared" si="860"/>
        <v>日</v>
      </c>
      <c r="C1117" s="48">
        <f t="shared" si="876"/>
        <v>2381</v>
      </c>
      <c r="D1117" s="84">
        <f t="shared" si="858"/>
        <v>-8</v>
      </c>
      <c r="E1117" s="45">
        <f t="shared" si="859"/>
        <v>2436.999999999869</v>
      </c>
      <c r="F1117" s="45">
        <f t="shared" si="877"/>
        <v>260</v>
      </c>
      <c r="G1117" s="79">
        <f t="shared" si="878"/>
        <v>5069.999999999869</v>
      </c>
      <c r="H1117" s="199">
        <v>0</v>
      </c>
      <c r="I1117" s="199">
        <v>1567</v>
      </c>
      <c r="J1117" s="200">
        <f t="shared" si="879"/>
        <v>1567</v>
      </c>
      <c r="K1117" s="201">
        <f t="shared" si="880"/>
        <v>-3502.999999999869</v>
      </c>
      <c r="L1117" s="254">
        <v>141</v>
      </c>
      <c r="M1117" s="249">
        <v>0.60416666666666663</v>
      </c>
      <c r="N1117" s="153">
        <v>198357</v>
      </c>
      <c r="O1117" s="153">
        <v>102390</v>
      </c>
      <c r="P1117" s="153">
        <v>9628</v>
      </c>
      <c r="Q1117" s="153"/>
      <c r="R1117" s="153">
        <v>39627</v>
      </c>
      <c r="S1117" s="154">
        <v>9196.7000000000007</v>
      </c>
      <c r="T1117" s="154"/>
      <c r="U1117" s="154"/>
      <c r="V1117" s="153">
        <v>266080</v>
      </c>
      <c r="W1117" s="153">
        <v>121569</v>
      </c>
      <c r="X1117" s="153">
        <v>101055</v>
      </c>
      <c r="Y1117" s="153">
        <v>92778</v>
      </c>
      <c r="Z1117" s="153">
        <v>189461</v>
      </c>
    </row>
    <row r="1118" spans="1:26" ht="18" hidden="1" customHeight="1" x14ac:dyDescent="0.2">
      <c r="A1118" s="47">
        <f t="shared" si="768"/>
        <v>43969</v>
      </c>
      <c r="B1118" s="47" t="str">
        <f t="shared" si="860"/>
        <v>一</v>
      </c>
      <c r="C1118" s="48">
        <f t="shared" ref="C1118" si="881">(V1119-V1118)*1+(W1119-W1118)*32+(X1119-X1118)*12+(Y1119-Y1118)*6</f>
        <v>1542</v>
      </c>
      <c r="D1118" s="84">
        <f t="shared" si="858"/>
        <v>80</v>
      </c>
      <c r="E1118" s="45">
        <f t="shared" si="859"/>
        <v>1020.000000000131</v>
      </c>
      <c r="F1118" s="45">
        <f t="shared" ref="F1118" si="882">(Z1119-Z1118)*1</f>
        <v>68</v>
      </c>
      <c r="G1118" s="79">
        <f t="shared" ref="G1118" si="883">C1118+D1118+F1118+E1118</f>
        <v>2710.000000000131</v>
      </c>
      <c r="H1118" s="199">
        <v>2469</v>
      </c>
      <c r="I1118" s="199">
        <v>322</v>
      </c>
      <c r="J1118" s="200">
        <f t="shared" si="879"/>
        <v>2791</v>
      </c>
      <c r="K1118" s="201">
        <f t="shared" si="880"/>
        <v>80.999999999869033</v>
      </c>
      <c r="L1118" s="254">
        <v>247</v>
      </c>
      <c r="M1118" s="249">
        <v>0.44791666666666669</v>
      </c>
      <c r="N1118" s="235">
        <v>198347</v>
      </c>
      <c r="O1118" s="235">
        <v>10239</v>
      </c>
      <c r="P1118" s="235">
        <v>9637</v>
      </c>
      <c r="Q1118" s="235"/>
      <c r="R1118" s="235">
        <v>39700</v>
      </c>
      <c r="S1118" s="236">
        <v>9216.4</v>
      </c>
      <c r="T1118" s="236"/>
      <c r="U1118" s="236"/>
      <c r="V1118" s="235">
        <v>266569</v>
      </c>
      <c r="W1118" s="235">
        <v>121618</v>
      </c>
      <c r="X1118" s="235">
        <v>101082</v>
      </c>
      <c r="Y1118" s="235">
        <v>92778</v>
      </c>
      <c r="Z1118" s="235">
        <v>189721</v>
      </c>
    </row>
    <row r="1119" spans="1:26" ht="18" hidden="1" customHeight="1" x14ac:dyDescent="0.2">
      <c r="A1119" s="47">
        <f t="shared" si="768"/>
        <v>43970</v>
      </c>
      <c r="B1119" s="47" t="str">
        <f t="shared" si="860"/>
        <v>二</v>
      </c>
      <c r="C1119" s="48">
        <f t="shared" ref="C1119" si="884">(V1120-V1119)*1+(W1120-W1119)*32+(X1120-X1119)*12+(Y1120-Y1119)*6</f>
        <v>1759</v>
      </c>
      <c r="D1119" s="84">
        <f t="shared" si="858"/>
        <v>0</v>
      </c>
      <c r="E1119" s="45">
        <f t="shared" si="859"/>
        <v>103.99999999986903</v>
      </c>
      <c r="F1119" s="45">
        <f t="shared" ref="F1119" si="885">(Z1120-Z1119)*1</f>
        <v>82</v>
      </c>
      <c r="G1119" s="79">
        <f t="shared" ref="G1119" si="886">C1119+D1119+F1119+E1119</f>
        <v>1944.999999999869</v>
      </c>
      <c r="H1119" s="199">
        <v>1756</v>
      </c>
      <c r="I1119" s="199">
        <v>291</v>
      </c>
      <c r="J1119" s="200">
        <f t="shared" si="879"/>
        <v>2047</v>
      </c>
      <c r="K1119" s="201">
        <f t="shared" si="880"/>
        <v>102.00000000013097</v>
      </c>
      <c r="L1119" s="254">
        <v>202</v>
      </c>
      <c r="M1119" s="249">
        <v>0.54166666666666663</v>
      </c>
      <c r="N1119" s="235">
        <v>198347</v>
      </c>
      <c r="O1119" s="235">
        <v>10239</v>
      </c>
      <c r="P1119" s="235">
        <v>9647</v>
      </c>
      <c r="Q1119" s="235"/>
      <c r="R1119" s="235">
        <v>39724</v>
      </c>
      <c r="S1119" s="236">
        <v>9224.7000000000007</v>
      </c>
      <c r="T1119" s="236"/>
      <c r="U1119" s="236"/>
      <c r="V1119" s="235">
        <v>266767</v>
      </c>
      <c r="W1119" s="235">
        <v>121648</v>
      </c>
      <c r="X1119" s="235">
        <v>101114</v>
      </c>
      <c r="Y1119" s="235">
        <v>92778</v>
      </c>
      <c r="Z1119" s="235">
        <v>189789</v>
      </c>
    </row>
    <row r="1120" spans="1:26" ht="18" hidden="1" customHeight="1" x14ac:dyDescent="0.2">
      <c r="A1120" s="47">
        <f t="shared" si="768"/>
        <v>43971</v>
      </c>
      <c r="B1120" s="47" t="str">
        <f t="shared" si="860"/>
        <v>三</v>
      </c>
      <c r="C1120" s="48">
        <f t="shared" ref="C1120" si="887">(V1121-V1120)*1+(W1121-W1120)*32+(X1121-X1120)*12+(Y1121-Y1120)*6</f>
        <v>1506</v>
      </c>
      <c r="D1120" s="84">
        <f t="shared" si="858"/>
        <v>24</v>
      </c>
      <c r="E1120" s="45">
        <f t="shared" si="859"/>
        <v>1166</v>
      </c>
      <c r="F1120" s="45">
        <f t="shared" ref="F1120" si="888">(Z1121-Z1120)*1</f>
        <v>50</v>
      </c>
      <c r="G1120" s="79">
        <f t="shared" ref="G1120" si="889">C1120+D1120+F1120+E1120</f>
        <v>2746</v>
      </c>
      <c r="H1120" s="199">
        <v>2546</v>
      </c>
      <c r="I1120" s="199">
        <v>342</v>
      </c>
      <c r="J1120" s="200">
        <f t="shared" si="879"/>
        <v>2888</v>
      </c>
      <c r="K1120" s="201">
        <f t="shared" si="880"/>
        <v>142</v>
      </c>
      <c r="L1120" s="254">
        <v>272</v>
      </c>
      <c r="M1120" s="249">
        <v>0.47916666666666669</v>
      </c>
      <c r="N1120" s="235">
        <v>198347</v>
      </c>
      <c r="O1120" s="235">
        <v>10239</v>
      </c>
      <c r="P1120" s="235">
        <v>9647</v>
      </c>
      <c r="Q1120" s="235"/>
      <c r="R1120" s="235">
        <v>39744</v>
      </c>
      <c r="S1120" s="236">
        <v>9225.4</v>
      </c>
      <c r="T1120" s="236"/>
      <c r="U1120" s="236"/>
      <c r="V1120" s="235">
        <v>266946</v>
      </c>
      <c r="W1120" s="235">
        <v>121676</v>
      </c>
      <c r="X1120" s="235">
        <v>101171</v>
      </c>
      <c r="Y1120" s="235">
        <v>92778</v>
      </c>
      <c r="Z1120" s="235">
        <v>189871</v>
      </c>
    </row>
    <row r="1121" spans="1:26" ht="18" hidden="1" customHeight="1" x14ac:dyDescent="0.2">
      <c r="A1121" s="47">
        <f t="shared" si="768"/>
        <v>43972</v>
      </c>
      <c r="B1121" s="47" t="str">
        <f t="shared" si="860"/>
        <v>四</v>
      </c>
      <c r="C1121" s="48">
        <f t="shared" ref="C1121" si="890">(V1122-V1121)*1+(W1122-W1121)*32+(X1122-X1121)*12+(Y1122-Y1121)*6</f>
        <v>1497</v>
      </c>
      <c r="D1121" s="84">
        <f t="shared" si="858"/>
        <v>16</v>
      </c>
      <c r="E1121" s="45">
        <f t="shared" si="859"/>
        <v>93.000000000043656</v>
      </c>
      <c r="F1121" s="45">
        <f t="shared" ref="F1121" si="891">(Z1122-Z1121)*1</f>
        <v>48</v>
      </c>
      <c r="G1121" s="79">
        <f t="shared" ref="G1121" si="892">C1121+D1121+F1121+E1121</f>
        <v>1654.0000000000437</v>
      </c>
      <c r="H1121" s="199">
        <v>1482</v>
      </c>
      <c r="I1121" s="199">
        <v>326</v>
      </c>
      <c r="J1121" s="200">
        <f t="shared" si="879"/>
        <v>1808</v>
      </c>
      <c r="K1121" s="201">
        <f t="shared" si="880"/>
        <v>153.99999999995634</v>
      </c>
      <c r="L1121" s="254">
        <v>196</v>
      </c>
      <c r="M1121" s="249">
        <v>0.46875</v>
      </c>
      <c r="N1121" s="235">
        <v>198347</v>
      </c>
      <c r="O1121" s="235">
        <v>102390</v>
      </c>
      <c r="P1121" s="235">
        <v>9650</v>
      </c>
      <c r="Q1121" s="235"/>
      <c r="R1121" s="235">
        <v>39770</v>
      </c>
      <c r="S1121" s="236">
        <v>9234.9</v>
      </c>
      <c r="T1121" s="236"/>
      <c r="U1121" s="236"/>
      <c r="V1121" s="235">
        <v>267128</v>
      </c>
      <c r="W1121" s="235">
        <v>121702</v>
      </c>
      <c r="X1121" s="235">
        <v>101212</v>
      </c>
      <c r="Y1121" s="235">
        <v>92778</v>
      </c>
      <c r="Z1121" s="235">
        <v>189921</v>
      </c>
    </row>
    <row r="1122" spans="1:26" ht="18" hidden="1" customHeight="1" x14ac:dyDescent="0.2">
      <c r="A1122" s="47">
        <f t="shared" si="768"/>
        <v>43973</v>
      </c>
      <c r="B1122" s="47" t="str">
        <f t="shared" si="860"/>
        <v>五</v>
      </c>
      <c r="C1122" s="48">
        <f t="shared" ref="C1122:C1124" si="893">(V1123-V1122)*1+(W1123-W1122)*32+(X1123-X1122)*12+(Y1123-Y1122)*6</f>
        <v>0</v>
      </c>
      <c r="D1122" s="84">
        <f t="shared" si="858"/>
        <v>0</v>
      </c>
      <c r="E1122" s="45">
        <f t="shared" si="859"/>
        <v>0</v>
      </c>
      <c r="F1122" s="45">
        <f t="shared" ref="F1122:F1124" si="894">(Z1123-Z1122)*1</f>
        <v>0</v>
      </c>
      <c r="G1122" s="79">
        <f t="shared" ref="G1122:G1124" si="895">C1122+D1122+F1122+E1122</f>
        <v>0</v>
      </c>
      <c r="H1122" s="199">
        <v>2527</v>
      </c>
      <c r="I1122" s="199">
        <v>363</v>
      </c>
      <c r="J1122" s="200">
        <f t="shared" si="879"/>
        <v>2890</v>
      </c>
      <c r="K1122" s="201">
        <f t="shared" si="880"/>
        <v>2890</v>
      </c>
      <c r="L1122" s="254">
        <v>276</v>
      </c>
      <c r="M1122" s="249">
        <v>0.67708333333333337</v>
      </c>
      <c r="N1122" s="235">
        <v>198347</v>
      </c>
      <c r="O1122" s="235">
        <v>102390</v>
      </c>
      <c r="P1122" s="235">
        <v>9652</v>
      </c>
      <c r="Q1122" s="235"/>
      <c r="R1122" s="235">
        <v>39791</v>
      </c>
      <c r="S1122" s="236">
        <v>9235.5</v>
      </c>
      <c r="T1122" s="236"/>
      <c r="U1122" s="236"/>
      <c r="V1122" s="235">
        <v>267313</v>
      </c>
      <c r="W1122" s="235">
        <v>121728</v>
      </c>
      <c r="X1122" s="235">
        <v>101252</v>
      </c>
      <c r="Y1122" s="235">
        <v>92778</v>
      </c>
      <c r="Z1122" s="235">
        <v>189969</v>
      </c>
    </row>
    <row r="1123" spans="1:26" ht="18" hidden="1" customHeight="1" x14ac:dyDescent="0.2">
      <c r="A1123" s="47">
        <f t="shared" si="768"/>
        <v>43974</v>
      </c>
      <c r="B1123" s="47" t="str">
        <f t="shared" si="860"/>
        <v>六</v>
      </c>
      <c r="C1123" s="48">
        <f t="shared" si="893"/>
        <v>0</v>
      </c>
      <c r="D1123" s="84">
        <f t="shared" si="858"/>
        <v>0</v>
      </c>
      <c r="E1123" s="45">
        <f t="shared" si="859"/>
        <v>0</v>
      </c>
      <c r="F1123" s="45">
        <f t="shared" si="894"/>
        <v>0</v>
      </c>
      <c r="G1123" s="79">
        <f t="shared" si="895"/>
        <v>0</v>
      </c>
      <c r="H1123" s="199">
        <v>0</v>
      </c>
      <c r="I1123" s="199">
        <f>290+993</f>
        <v>1283</v>
      </c>
      <c r="J1123" s="200">
        <f t="shared" si="879"/>
        <v>1283</v>
      </c>
      <c r="K1123" s="201">
        <f t="shared" si="880"/>
        <v>1283</v>
      </c>
      <c r="L1123" s="254">
        <v>146</v>
      </c>
      <c r="M1123" s="249">
        <v>0.52083333333333337</v>
      </c>
      <c r="N1123" s="160">
        <v>198347</v>
      </c>
      <c r="O1123" s="160">
        <v>102390</v>
      </c>
      <c r="P1123" s="160">
        <v>9652</v>
      </c>
      <c r="Q1123" s="160"/>
      <c r="R1123" s="160">
        <v>39791</v>
      </c>
      <c r="S1123" s="161">
        <v>9235.5</v>
      </c>
      <c r="T1123" s="161"/>
      <c r="U1123" s="161"/>
      <c r="V1123" s="160">
        <v>267313</v>
      </c>
      <c r="W1123" s="160">
        <v>121728</v>
      </c>
      <c r="X1123" s="160">
        <v>101252</v>
      </c>
      <c r="Y1123" s="160">
        <v>92778</v>
      </c>
      <c r="Z1123" s="160">
        <v>189969</v>
      </c>
    </row>
    <row r="1124" spans="1:26" ht="18" hidden="1" customHeight="1" x14ac:dyDescent="0.2">
      <c r="A1124" s="47">
        <f t="shared" si="768"/>
        <v>43975</v>
      </c>
      <c r="B1124" s="47" t="str">
        <f t="shared" si="860"/>
        <v>日</v>
      </c>
      <c r="C1124" s="48">
        <f t="shared" si="893"/>
        <v>2430</v>
      </c>
      <c r="D1124" s="84">
        <f t="shared" si="858"/>
        <v>80</v>
      </c>
      <c r="E1124" s="45">
        <f t="shared" si="859"/>
        <v>2859.0000000000873</v>
      </c>
      <c r="F1124" s="45">
        <f t="shared" si="894"/>
        <v>192</v>
      </c>
      <c r="G1124" s="79">
        <f t="shared" si="895"/>
        <v>5561.0000000000873</v>
      </c>
      <c r="H1124" s="199">
        <v>0</v>
      </c>
      <c r="I1124" s="199">
        <v>1717</v>
      </c>
      <c r="J1124" s="200">
        <f t="shared" si="879"/>
        <v>1717</v>
      </c>
      <c r="K1124" s="201">
        <f t="shared" si="880"/>
        <v>-3844.0000000000873</v>
      </c>
      <c r="L1124" s="254">
        <v>144</v>
      </c>
      <c r="M1124" s="249">
        <v>0.58333333333333337</v>
      </c>
      <c r="N1124" s="160">
        <v>198347</v>
      </c>
      <c r="O1124" s="160">
        <v>102390</v>
      </c>
      <c r="P1124" s="160">
        <v>9652</v>
      </c>
      <c r="Q1124" s="160"/>
      <c r="R1124" s="160">
        <v>39791</v>
      </c>
      <c r="S1124" s="161">
        <v>9235.5</v>
      </c>
      <c r="T1124" s="161"/>
      <c r="U1124" s="161"/>
      <c r="V1124" s="160">
        <v>267313</v>
      </c>
      <c r="W1124" s="160">
        <v>121728</v>
      </c>
      <c r="X1124" s="160">
        <v>101252</v>
      </c>
      <c r="Y1124" s="160">
        <v>92778</v>
      </c>
      <c r="Z1124" s="160">
        <v>189969</v>
      </c>
    </row>
    <row r="1125" spans="1:26" ht="18" hidden="1" customHeight="1" x14ac:dyDescent="0.2">
      <c r="A1125" s="47">
        <f t="shared" si="768"/>
        <v>43976</v>
      </c>
      <c r="B1125" s="47" t="str">
        <f t="shared" si="860"/>
        <v>一</v>
      </c>
      <c r="C1125" s="48">
        <f t="shared" ref="C1125" si="896">(V1126-V1125)*1+(W1126-W1125)*32+(X1126-X1125)*12+(Y1126-Y1125)*6</f>
        <v>1903</v>
      </c>
      <c r="D1125" s="84">
        <f t="shared" si="858"/>
        <v>40</v>
      </c>
      <c r="E1125" s="45">
        <f t="shared" si="859"/>
        <v>1006.999999999869</v>
      </c>
      <c r="F1125" s="45">
        <f t="shared" ref="F1125" si="897">(Z1126-Z1125)*1</f>
        <v>71</v>
      </c>
      <c r="G1125" s="79">
        <f t="shared" ref="G1125" si="898">C1125+D1125+F1125+E1125</f>
        <v>3020.999999999869</v>
      </c>
      <c r="H1125" s="199">
        <v>2754</v>
      </c>
      <c r="I1125" s="199">
        <v>326</v>
      </c>
      <c r="J1125" s="200">
        <f t="shared" si="879"/>
        <v>3080</v>
      </c>
      <c r="K1125" s="201">
        <f t="shared" si="880"/>
        <v>59.000000000130967</v>
      </c>
      <c r="L1125" s="254">
        <v>318</v>
      </c>
      <c r="M1125" s="249">
        <v>0.57291666666666663</v>
      </c>
      <c r="N1125" s="235">
        <v>198347</v>
      </c>
      <c r="O1125" s="235">
        <v>102390</v>
      </c>
      <c r="P1125" s="235">
        <v>9662</v>
      </c>
      <c r="Q1125" s="235"/>
      <c r="R1125" s="235">
        <v>39866</v>
      </c>
      <c r="S1125" s="236">
        <v>9258.7000000000007</v>
      </c>
      <c r="T1125" s="236"/>
      <c r="U1125" s="236"/>
      <c r="V1125" s="235">
        <v>267751</v>
      </c>
      <c r="W1125" s="235">
        <v>121773</v>
      </c>
      <c r="X1125" s="235">
        <v>101298</v>
      </c>
      <c r="Y1125" s="235">
        <v>92778</v>
      </c>
      <c r="Z1125" s="235">
        <v>190161</v>
      </c>
    </row>
    <row r="1126" spans="1:26" ht="18" hidden="1" customHeight="1" x14ac:dyDescent="0.2">
      <c r="A1126" s="47">
        <f t="shared" si="768"/>
        <v>43977</v>
      </c>
      <c r="B1126" s="47" t="str">
        <f t="shared" si="860"/>
        <v>二</v>
      </c>
      <c r="C1126" s="48">
        <f t="shared" ref="C1126" si="899">(V1127-V1126)*1+(W1127-W1126)*32+(X1127-X1126)*12+(Y1127-Y1126)*6</f>
        <v>2019</v>
      </c>
      <c r="D1126" s="84">
        <f t="shared" si="858"/>
        <v>32</v>
      </c>
      <c r="E1126" s="45">
        <f t="shared" si="859"/>
        <v>152.00000000004366</v>
      </c>
      <c r="F1126" s="45">
        <f t="shared" ref="F1126" si="900">(Z1127-Z1126)*1</f>
        <v>72</v>
      </c>
      <c r="G1126" s="79">
        <f t="shared" ref="G1126" si="901">C1126+D1126+F1126+E1126</f>
        <v>2275.0000000000437</v>
      </c>
      <c r="H1126" s="199">
        <v>2042</v>
      </c>
      <c r="I1126" s="199">
        <v>399</v>
      </c>
      <c r="J1126" s="200">
        <f t="shared" si="879"/>
        <v>2441</v>
      </c>
      <c r="K1126" s="201">
        <f t="shared" si="880"/>
        <v>165.99999999995634</v>
      </c>
      <c r="L1126" s="254">
        <v>224</v>
      </c>
      <c r="M1126" s="249">
        <v>0.375</v>
      </c>
      <c r="N1126" s="235">
        <v>198347</v>
      </c>
      <c r="O1126" s="235">
        <v>10239</v>
      </c>
      <c r="P1126" s="235">
        <v>9667</v>
      </c>
      <c r="Q1126" s="235"/>
      <c r="R1126" s="235">
        <v>39889</v>
      </c>
      <c r="S1126" s="236">
        <v>9266.9</v>
      </c>
      <c r="T1126" s="236"/>
      <c r="U1126" s="236"/>
      <c r="V1126" s="235">
        <v>267962</v>
      </c>
      <c r="W1126" s="235">
        <v>121806</v>
      </c>
      <c r="X1126" s="235">
        <v>101351</v>
      </c>
      <c r="Y1126" s="235">
        <v>92778</v>
      </c>
      <c r="Z1126" s="235">
        <v>190232</v>
      </c>
    </row>
    <row r="1127" spans="1:26" ht="18" hidden="1" customHeight="1" x14ac:dyDescent="0.2">
      <c r="A1127" s="47">
        <f t="shared" si="768"/>
        <v>43978</v>
      </c>
      <c r="B1127" s="47" t="str">
        <f t="shared" si="860"/>
        <v>三</v>
      </c>
      <c r="C1127" s="48">
        <f t="shared" ref="C1127" si="902">(V1128-V1127)*1+(W1128-W1127)*32+(X1128-X1127)*12+(Y1128-Y1127)*6</f>
        <v>1627</v>
      </c>
      <c r="D1127" s="84">
        <f t="shared" si="858"/>
        <v>8</v>
      </c>
      <c r="E1127" s="45">
        <f t="shared" si="859"/>
        <v>1066.0000000000873</v>
      </c>
      <c r="F1127" s="45">
        <f t="shared" ref="F1127" si="903">(Z1128-Z1127)*1</f>
        <v>57</v>
      </c>
      <c r="G1127" s="79">
        <f t="shared" ref="G1127" si="904">C1127+D1127+F1127+E1127</f>
        <v>2758.0000000000873</v>
      </c>
      <c r="H1127" s="199">
        <v>2600</v>
      </c>
      <c r="I1127" s="199">
        <v>353</v>
      </c>
      <c r="J1127" s="200">
        <f t="shared" si="879"/>
        <v>2953</v>
      </c>
      <c r="K1127" s="201">
        <f t="shared" si="880"/>
        <v>194.99999999991269</v>
      </c>
      <c r="L1127" s="254">
        <v>275</v>
      </c>
      <c r="M1127" s="249">
        <v>0.57291666666666663</v>
      </c>
      <c r="N1127" s="235">
        <v>198347</v>
      </c>
      <c r="O1127" s="235">
        <v>10239</v>
      </c>
      <c r="P1127" s="235">
        <v>9671</v>
      </c>
      <c r="Q1127" s="235"/>
      <c r="R1127" s="235">
        <v>39909</v>
      </c>
      <c r="S1127" s="236">
        <v>9268</v>
      </c>
      <c r="T1127" s="236"/>
      <c r="U1127" s="236"/>
      <c r="V1127" s="235">
        <v>268169</v>
      </c>
      <c r="W1127" s="235">
        <v>121842</v>
      </c>
      <c r="X1127" s="235">
        <v>101406</v>
      </c>
      <c r="Y1127" s="235">
        <v>92778</v>
      </c>
      <c r="Z1127" s="235">
        <v>190304</v>
      </c>
    </row>
    <row r="1128" spans="1:26" ht="18" hidden="1" customHeight="1" x14ac:dyDescent="0.2">
      <c r="A1128" s="47">
        <f t="shared" ref="A1128:A1191" si="905">A1127+1</f>
        <v>43979</v>
      </c>
      <c r="B1128" s="47" t="str">
        <f t="shared" si="860"/>
        <v>四</v>
      </c>
      <c r="C1128" s="48">
        <f t="shared" ref="C1128" si="906">(V1129-V1128)*1+(W1129-W1128)*32+(X1129-X1128)*12+(Y1129-Y1128)*6</f>
        <v>1656</v>
      </c>
      <c r="D1128" s="84">
        <f t="shared" si="858"/>
        <v>48</v>
      </c>
      <c r="E1128" s="45">
        <f t="shared" si="859"/>
        <v>91.999999999825377</v>
      </c>
      <c r="F1128" s="45">
        <f t="shared" ref="F1128" si="907">(Z1129-Z1128)*1</f>
        <v>97</v>
      </c>
      <c r="G1128" s="79">
        <f t="shared" ref="G1128" si="908">C1128+D1128+F1128+E1128</f>
        <v>1892.9999999998254</v>
      </c>
      <c r="H1128" s="199">
        <v>1616</v>
      </c>
      <c r="I1128" s="199">
        <v>335</v>
      </c>
      <c r="J1128" s="200">
        <f t="shared" si="879"/>
        <v>1951</v>
      </c>
      <c r="K1128" s="201">
        <f t="shared" si="880"/>
        <v>58.000000000174623</v>
      </c>
      <c r="L1128" s="254">
        <v>201</v>
      </c>
      <c r="M1128" s="249">
        <v>0.44791666666666669</v>
      </c>
      <c r="N1128" s="235">
        <v>198347</v>
      </c>
      <c r="O1128" s="235">
        <v>102390</v>
      </c>
      <c r="P1128" s="235">
        <v>9672</v>
      </c>
      <c r="Q1128" s="235"/>
      <c r="R1128" s="235">
        <v>39931</v>
      </c>
      <c r="S1128" s="236">
        <v>9276.7000000000007</v>
      </c>
      <c r="T1128" s="236"/>
      <c r="U1128" s="236"/>
      <c r="V1128" s="235">
        <v>268356</v>
      </c>
      <c r="W1128" s="235">
        <v>121869</v>
      </c>
      <c r="X1128" s="235">
        <v>101454</v>
      </c>
      <c r="Y1128" s="235">
        <v>92778</v>
      </c>
      <c r="Z1128" s="235">
        <v>190361</v>
      </c>
    </row>
    <row r="1129" spans="1:26" ht="18" hidden="1" customHeight="1" x14ac:dyDescent="0.2">
      <c r="A1129" s="47">
        <f t="shared" si="905"/>
        <v>43980</v>
      </c>
      <c r="B1129" s="47" t="str">
        <f t="shared" si="860"/>
        <v>五</v>
      </c>
      <c r="C1129" s="48">
        <f t="shared" ref="C1129:C1131" si="909">(V1130-V1129)*1+(W1130-W1129)*32+(X1130-X1129)*12+(Y1130-Y1129)*6</f>
        <v>0</v>
      </c>
      <c r="D1129" s="84">
        <f t="shared" si="858"/>
        <v>0</v>
      </c>
      <c r="E1129" s="45">
        <f t="shared" si="859"/>
        <v>0</v>
      </c>
      <c r="F1129" s="45">
        <f t="shared" ref="F1129:F1131" si="910">(Z1130-Z1129)*1</f>
        <v>0</v>
      </c>
      <c r="G1129" s="79">
        <f t="shared" ref="G1129:G1131" si="911">C1129+D1129+F1129+E1129</f>
        <v>0</v>
      </c>
      <c r="H1129" s="199">
        <v>2384</v>
      </c>
      <c r="I1129" s="199">
        <v>370</v>
      </c>
      <c r="J1129" s="200">
        <f t="shared" si="879"/>
        <v>2754</v>
      </c>
      <c r="K1129" s="201">
        <f t="shared" si="880"/>
        <v>2754</v>
      </c>
      <c r="L1129" s="254">
        <v>305</v>
      </c>
      <c r="M1129" s="249">
        <v>0.60416666666666663</v>
      </c>
      <c r="N1129" s="235">
        <v>198347</v>
      </c>
      <c r="O1129" s="235">
        <v>102390</v>
      </c>
      <c r="P1129" s="235">
        <v>9678</v>
      </c>
      <c r="Q1129" s="235"/>
      <c r="R1129" s="235">
        <v>39951</v>
      </c>
      <c r="S1129" s="236">
        <v>9277.2999999999993</v>
      </c>
      <c r="T1129" s="236"/>
      <c r="U1129" s="236"/>
      <c r="V1129" s="235">
        <v>268536</v>
      </c>
      <c r="W1129" s="235">
        <v>121896</v>
      </c>
      <c r="X1129" s="235">
        <v>101505</v>
      </c>
      <c r="Y1129" s="235">
        <v>92778</v>
      </c>
      <c r="Z1129" s="235">
        <v>190458</v>
      </c>
    </row>
    <row r="1130" spans="1:26" ht="18" hidden="1" customHeight="1" x14ac:dyDescent="0.2">
      <c r="A1130" s="47">
        <f t="shared" si="905"/>
        <v>43981</v>
      </c>
      <c r="B1130" s="47" t="str">
        <f t="shared" si="860"/>
        <v>六</v>
      </c>
      <c r="C1130" s="48">
        <f t="shared" si="909"/>
        <v>0</v>
      </c>
      <c r="D1130" s="84">
        <f t="shared" si="858"/>
        <v>0</v>
      </c>
      <c r="E1130" s="45">
        <f t="shared" si="859"/>
        <v>0</v>
      </c>
      <c r="F1130" s="45">
        <f t="shared" si="910"/>
        <v>0</v>
      </c>
      <c r="G1130" s="79">
        <f t="shared" si="911"/>
        <v>0</v>
      </c>
      <c r="H1130" s="199">
        <v>0</v>
      </c>
      <c r="I1130" s="199">
        <f>1278+340</f>
        <v>1618</v>
      </c>
      <c r="J1130" s="200">
        <f t="shared" si="879"/>
        <v>1618</v>
      </c>
      <c r="K1130" s="201">
        <f t="shared" si="880"/>
        <v>1618</v>
      </c>
      <c r="L1130" s="254">
        <v>230</v>
      </c>
      <c r="M1130" s="249">
        <v>0.42708333333333331</v>
      </c>
      <c r="N1130" s="153">
        <v>198347</v>
      </c>
      <c r="O1130" s="153">
        <v>102390</v>
      </c>
      <c r="P1130" s="153">
        <v>9678</v>
      </c>
      <c r="Q1130" s="153"/>
      <c r="R1130" s="153">
        <v>39951</v>
      </c>
      <c r="S1130" s="154">
        <v>9277.2999999999993</v>
      </c>
      <c r="T1130" s="154"/>
      <c r="U1130" s="154"/>
      <c r="V1130" s="153">
        <v>268536</v>
      </c>
      <c r="W1130" s="153">
        <v>121896</v>
      </c>
      <c r="X1130" s="153">
        <v>101505</v>
      </c>
      <c r="Y1130" s="153">
        <v>92778</v>
      </c>
      <c r="Z1130" s="153">
        <v>190458</v>
      </c>
    </row>
    <row r="1131" spans="1:26" ht="18" hidden="1" customHeight="1" x14ac:dyDescent="0.2">
      <c r="A1131" s="47">
        <f t="shared" si="905"/>
        <v>43982</v>
      </c>
      <c r="B1131" s="47" t="str">
        <f t="shared" si="860"/>
        <v>日</v>
      </c>
      <c r="C1131" s="48">
        <f t="shared" si="909"/>
        <v>2793</v>
      </c>
      <c r="D1131" s="84">
        <f t="shared" si="858"/>
        <v>80</v>
      </c>
      <c r="E1131" s="45">
        <f t="shared" si="859"/>
        <v>2209.0000000000437</v>
      </c>
      <c r="F1131" s="45">
        <f t="shared" si="910"/>
        <v>236</v>
      </c>
      <c r="G1131" s="79">
        <f t="shared" si="911"/>
        <v>5318.0000000000437</v>
      </c>
      <c r="H1131" s="199">
        <v>0</v>
      </c>
      <c r="I1131" s="199">
        <v>1670</v>
      </c>
      <c r="J1131" s="200">
        <f t="shared" si="879"/>
        <v>1670</v>
      </c>
      <c r="K1131" s="201">
        <f t="shared" si="880"/>
        <v>-3648.0000000000437</v>
      </c>
      <c r="L1131" s="254">
        <v>149</v>
      </c>
      <c r="M1131" s="249" t="s">
        <v>162</v>
      </c>
      <c r="N1131" s="153">
        <v>198347</v>
      </c>
      <c r="O1131" s="153">
        <v>102390</v>
      </c>
      <c r="P1131" s="153">
        <v>9678</v>
      </c>
      <c r="Q1131" s="153"/>
      <c r="R1131" s="153">
        <v>39951</v>
      </c>
      <c r="S1131" s="154">
        <v>9277.2999999999993</v>
      </c>
      <c r="T1131" s="154"/>
      <c r="U1131" s="154"/>
      <c r="V1131" s="153">
        <v>268536</v>
      </c>
      <c r="W1131" s="153">
        <v>121896</v>
      </c>
      <c r="X1131" s="153">
        <v>101505</v>
      </c>
      <c r="Y1131" s="153">
        <v>92778</v>
      </c>
      <c r="Z1131" s="153">
        <v>190458</v>
      </c>
    </row>
    <row r="1132" spans="1:26" ht="18" hidden="1" customHeight="1" x14ac:dyDescent="0.2">
      <c r="A1132" s="47">
        <f t="shared" si="905"/>
        <v>43983</v>
      </c>
      <c r="B1132" s="47" t="str">
        <f t="shared" si="860"/>
        <v>一</v>
      </c>
      <c r="C1132" s="48">
        <f t="shared" ref="C1132" si="912">(V1133-V1132)*1+(W1133-W1132)*32+(X1133-X1132)*12+(Y1133-Y1132)*6</f>
        <v>2086</v>
      </c>
      <c r="D1132" s="84">
        <f t="shared" si="858"/>
        <v>32</v>
      </c>
      <c r="E1132" s="45">
        <f t="shared" si="859"/>
        <v>1308.9999999999563</v>
      </c>
      <c r="F1132" s="45">
        <f t="shared" ref="F1132" si="913">(Z1133-Z1132)*1</f>
        <v>79</v>
      </c>
      <c r="G1132" s="79">
        <f t="shared" ref="G1132" si="914">C1132+D1132+F1132+E1132</f>
        <v>3505.9999999999563</v>
      </c>
      <c r="H1132" s="199">
        <v>2922</v>
      </c>
      <c r="I1132" s="199">
        <v>327</v>
      </c>
      <c r="J1132" s="200">
        <f t="shared" si="879"/>
        <v>3249</v>
      </c>
      <c r="K1132" s="201">
        <f t="shared" si="880"/>
        <v>-256.99999999995634</v>
      </c>
      <c r="L1132" s="254">
        <v>307</v>
      </c>
      <c r="M1132" s="249">
        <v>0.57291666666666663</v>
      </c>
      <c r="N1132" s="235">
        <v>198347</v>
      </c>
      <c r="O1132" s="235">
        <v>102391</v>
      </c>
      <c r="P1132" s="235">
        <v>9688</v>
      </c>
      <c r="Q1132" s="235"/>
      <c r="R1132" s="235">
        <v>39688</v>
      </c>
      <c r="S1132" s="236">
        <v>9297.9</v>
      </c>
      <c r="T1132" s="236"/>
      <c r="U1132" s="236"/>
      <c r="V1132" s="235">
        <v>269049</v>
      </c>
      <c r="W1132" s="235">
        <v>121953</v>
      </c>
      <c r="X1132" s="235">
        <v>101543</v>
      </c>
      <c r="Y1132" s="235">
        <v>92778</v>
      </c>
      <c r="Z1132" s="235">
        <v>190694</v>
      </c>
    </row>
    <row r="1133" spans="1:26" ht="18" hidden="1" customHeight="1" x14ac:dyDescent="0.2">
      <c r="A1133" s="47">
        <f t="shared" si="905"/>
        <v>43984</v>
      </c>
      <c r="B1133" s="47" t="str">
        <f t="shared" si="860"/>
        <v>二</v>
      </c>
      <c r="C1133" s="48">
        <f t="shared" ref="C1133" si="915">(V1134-V1133)*1+(W1134-W1133)*32+(X1134-X1133)*12+(Y1134-Y1133)*6</f>
        <v>2365</v>
      </c>
      <c r="D1133" s="84">
        <f t="shared" si="858"/>
        <v>40</v>
      </c>
      <c r="E1133" s="45">
        <f t="shared" si="859"/>
        <v>152.00000000004366</v>
      </c>
      <c r="F1133" s="45">
        <f t="shared" ref="F1133" si="916">(Z1134-Z1133)*1</f>
        <v>91</v>
      </c>
      <c r="G1133" s="79">
        <f t="shared" ref="G1133" si="917">C1133+D1133+F1133+E1133</f>
        <v>2648.0000000000437</v>
      </c>
      <c r="H1133" s="199">
        <v>2404</v>
      </c>
      <c r="I1133" s="199">
        <v>404</v>
      </c>
      <c r="J1133" s="200">
        <f t="shared" si="879"/>
        <v>2808</v>
      </c>
      <c r="K1133" s="201">
        <f t="shared" si="880"/>
        <v>159.99999999995634</v>
      </c>
      <c r="L1133" s="254">
        <v>240</v>
      </c>
      <c r="M1133" s="249">
        <v>0.40625</v>
      </c>
      <c r="N1133" s="235">
        <v>198347</v>
      </c>
      <c r="O1133" s="235">
        <v>102391</v>
      </c>
      <c r="P1133" s="235">
        <v>9692</v>
      </c>
      <c r="Q1133" s="235"/>
      <c r="R1133" s="235">
        <v>40049</v>
      </c>
      <c r="S1133" s="236">
        <v>9305.7999999999993</v>
      </c>
      <c r="T1133" s="236"/>
      <c r="U1133" s="236"/>
      <c r="V1133" s="235">
        <v>269279</v>
      </c>
      <c r="W1133" s="235">
        <v>121993</v>
      </c>
      <c r="X1133" s="235">
        <v>101591</v>
      </c>
      <c r="Y1133" s="235">
        <v>92778</v>
      </c>
      <c r="Z1133" s="235">
        <v>190773</v>
      </c>
    </row>
    <row r="1134" spans="1:26" ht="18" hidden="1" customHeight="1" x14ac:dyDescent="0.2">
      <c r="A1134" s="47">
        <f t="shared" si="905"/>
        <v>43985</v>
      </c>
      <c r="B1134" s="47" t="str">
        <f t="shared" si="860"/>
        <v>三</v>
      </c>
      <c r="C1134" s="48">
        <f t="shared" ref="C1134" si="918">(V1135-V1134)*1+(W1135-W1134)*32+(X1135-X1134)*12+(Y1135-Y1134)*6</f>
        <v>2012</v>
      </c>
      <c r="D1134" s="84">
        <f t="shared" si="858"/>
        <v>32</v>
      </c>
      <c r="E1134" s="45">
        <f t="shared" si="859"/>
        <v>1168</v>
      </c>
      <c r="F1134" s="45">
        <f t="shared" ref="F1134" si="919">(Z1135-Z1134)*1</f>
        <v>96</v>
      </c>
      <c r="G1134" s="79">
        <f t="shared" ref="G1134" si="920">C1134+D1134+F1134+E1134</f>
        <v>3308</v>
      </c>
      <c r="H1134" s="199">
        <v>3039</v>
      </c>
      <c r="I1134" s="199">
        <v>396</v>
      </c>
      <c r="J1134" s="200">
        <f t="shared" si="879"/>
        <v>3435</v>
      </c>
      <c r="K1134" s="201">
        <f t="shared" si="880"/>
        <v>127</v>
      </c>
      <c r="L1134" s="254">
        <v>324</v>
      </c>
      <c r="M1134" s="249">
        <v>0.63541666666666663</v>
      </c>
      <c r="N1134" s="235">
        <v>198347</v>
      </c>
      <c r="O1134" s="235">
        <v>102391</v>
      </c>
      <c r="P1134" s="235">
        <v>9697</v>
      </c>
      <c r="Q1134" s="235"/>
      <c r="R1134" s="235">
        <v>40069</v>
      </c>
      <c r="S1134" s="236">
        <v>9306.9</v>
      </c>
      <c r="T1134" s="236"/>
      <c r="U1134" s="236"/>
      <c r="V1134" s="235">
        <v>269500</v>
      </c>
      <c r="W1134" s="235">
        <v>122036</v>
      </c>
      <c r="X1134" s="235">
        <v>101655</v>
      </c>
      <c r="Y1134" s="235">
        <v>92778</v>
      </c>
      <c r="Z1134" s="235">
        <v>190864</v>
      </c>
    </row>
    <row r="1135" spans="1:26" ht="18" hidden="1" customHeight="1" x14ac:dyDescent="0.2">
      <c r="A1135" s="47">
        <f t="shared" si="905"/>
        <v>43986</v>
      </c>
      <c r="B1135" s="47" t="str">
        <f t="shared" si="860"/>
        <v>四</v>
      </c>
      <c r="C1135" s="48">
        <f t="shared" ref="C1135" si="921">(V1136-V1135)*1+(W1136-W1135)*32+(X1136-X1135)*12+(Y1136-Y1135)*6</f>
        <v>1815</v>
      </c>
      <c r="D1135" s="84">
        <f t="shared" si="858"/>
        <v>32</v>
      </c>
      <c r="E1135" s="45">
        <f t="shared" si="859"/>
        <v>116.00000000013097</v>
      </c>
      <c r="F1135" s="45">
        <f t="shared" ref="F1135" si="922">(Z1136-Z1135)*1</f>
        <v>92</v>
      </c>
      <c r="G1135" s="79">
        <f t="shared" ref="G1135" si="923">C1135+D1135+F1135+E1135</f>
        <v>2055.000000000131</v>
      </c>
      <c r="H1135" s="199">
        <v>1936</v>
      </c>
      <c r="I1135" s="199">
        <v>384</v>
      </c>
      <c r="J1135" s="200">
        <f t="shared" si="879"/>
        <v>2320</v>
      </c>
      <c r="K1135" s="201">
        <f t="shared" si="880"/>
        <v>264.99999999986903</v>
      </c>
      <c r="L1135" s="254">
        <v>240</v>
      </c>
      <c r="M1135" s="249">
        <v>0.40625</v>
      </c>
      <c r="N1135" s="235">
        <v>198347</v>
      </c>
      <c r="O1135" s="235">
        <v>102391</v>
      </c>
      <c r="P1135" s="235">
        <v>9701</v>
      </c>
      <c r="Q1135" s="235"/>
      <c r="R1135" s="235">
        <v>40097</v>
      </c>
      <c r="S1135" s="236">
        <v>9316.4</v>
      </c>
      <c r="T1135" s="236"/>
      <c r="U1135" s="236"/>
      <c r="V1135" s="235">
        <v>269704</v>
      </c>
      <c r="W1135" s="235">
        <v>122073</v>
      </c>
      <c r="X1135" s="235">
        <v>101707</v>
      </c>
      <c r="Y1135" s="235">
        <v>92778</v>
      </c>
      <c r="Z1135" s="235">
        <v>190960</v>
      </c>
    </row>
    <row r="1136" spans="1:26" ht="18" hidden="1" customHeight="1" x14ac:dyDescent="0.2">
      <c r="A1136" s="47">
        <f t="shared" si="905"/>
        <v>43987</v>
      </c>
      <c r="B1136" s="47" t="str">
        <f t="shared" si="860"/>
        <v>五</v>
      </c>
      <c r="C1136" s="48">
        <f t="shared" ref="C1136:C1138" si="924">(V1137-V1136)*1+(W1137-W1136)*32+(X1137-X1136)*12+(Y1137-Y1136)*6</f>
        <v>0</v>
      </c>
      <c r="D1136" s="84">
        <f t="shared" si="858"/>
        <v>0</v>
      </c>
      <c r="E1136" s="45">
        <f t="shared" si="859"/>
        <v>0</v>
      </c>
      <c r="F1136" s="45">
        <f t="shared" ref="F1136:F1138" si="925">(Z1137-Z1136)*1</f>
        <v>0</v>
      </c>
      <c r="G1136" s="79">
        <f t="shared" ref="G1136:G1138" si="926">C1136+D1136+F1136+E1136</f>
        <v>0</v>
      </c>
      <c r="H1136" s="199">
        <v>2818</v>
      </c>
      <c r="I1136" s="199">
        <v>382</v>
      </c>
      <c r="J1136" s="200">
        <f t="shared" si="879"/>
        <v>3200</v>
      </c>
      <c r="K1136" s="201">
        <f t="shared" si="880"/>
        <v>3200</v>
      </c>
      <c r="L1136" s="254">
        <v>315</v>
      </c>
      <c r="M1136" s="249">
        <v>0.45833333333333331</v>
      </c>
      <c r="N1136" s="235">
        <v>198347</v>
      </c>
      <c r="O1136" s="235">
        <v>102396</v>
      </c>
      <c r="P1136" s="235">
        <v>9705</v>
      </c>
      <c r="Q1136" s="235"/>
      <c r="R1136" s="235">
        <v>40117</v>
      </c>
      <c r="S1136" s="236">
        <v>9317.2000000000007</v>
      </c>
      <c r="T1136" s="236"/>
      <c r="U1136" s="236"/>
      <c r="V1136" s="235">
        <v>269915</v>
      </c>
      <c r="W1136" s="235">
        <v>122107</v>
      </c>
      <c r="X1136" s="235">
        <v>101750</v>
      </c>
      <c r="Y1136" s="235">
        <v>92778</v>
      </c>
      <c r="Z1136" s="235">
        <v>191052</v>
      </c>
    </row>
    <row r="1137" spans="1:26" ht="18" hidden="1" customHeight="1" x14ac:dyDescent="0.2">
      <c r="A1137" s="47">
        <f t="shared" si="905"/>
        <v>43988</v>
      </c>
      <c r="B1137" s="47" t="str">
        <f t="shared" si="860"/>
        <v>六</v>
      </c>
      <c r="C1137" s="48">
        <f t="shared" si="924"/>
        <v>0</v>
      </c>
      <c r="D1137" s="84">
        <f t="shared" si="858"/>
        <v>0</v>
      </c>
      <c r="E1137" s="45">
        <f t="shared" si="859"/>
        <v>0</v>
      </c>
      <c r="F1137" s="45">
        <f t="shared" si="925"/>
        <v>0</v>
      </c>
      <c r="G1137" s="79">
        <f t="shared" si="926"/>
        <v>0</v>
      </c>
      <c r="H1137" s="199">
        <v>0</v>
      </c>
      <c r="I1137" s="199">
        <f>310+942</f>
        <v>1252</v>
      </c>
      <c r="J1137" s="200">
        <f t="shared" ref="J1137:J1164" si="927">H1137+I1137</f>
        <v>1252</v>
      </c>
      <c r="K1137" s="201">
        <f t="shared" ref="K1137:K1164" si="928">J1137-G1137</f>
        <v>1252</v>
      </c>
      <c r="L1137" s="254">
        <v>126</v>
      </c>
      <c r="M1137" s="249">
        <v>0.42708333333333331</v>
      </c>
      <c r="N1137" s="160">
        <v>198347</v>
      </c>
      <c r="O1137" s="160">
        <v>102396</v>
      </c>
      <c r="P1137" s="160">
        <v>9705</v>
      </c>
      <c r="Q1137" s="160"/>
      <c r="R1137" s="160">
        <v>40117</v>
      </c>
      <c r="S1137" s="161">
        <v>9317.2000000000007</v>
      </c>
      <c r="T1137" s="161"/>
      <c r="U1137" s="161"/>
      <c r="V1137" s="160">
        <v>269915</v>
      </c>
      <c r="W1137" s="160">
        <v>122107</v>
      </c>
      <c r="X1137" s="160">
        <v>101750</v>
      </c>
      <c r="Y1137" s="160">
        <v>92778</v>
      </c>
      <c r="Z1137" s="160">
        <v>191052</v>
      </c>
    </row>
    <row r="1138" spans="1:26" ht="18" hidden="1" customHeight="1" x14ac:dyDescent="0.2">
      <c r="A1138" s="47">
        <f t="shared" si="905"/>
        <v>43989</v>
      </c>
      <c r="B1138" s="47" t="str">
        <f t="shared" si="860"/>
        <v>日</v>
      </c>
      <c r="C1138" s="48">
        <f t="shared" si="924"/>
        <v>2790</v>
      </c>
      <c r="D1138" s="84">
        <f t="shared" si="858"/>
        <v>408</v>
      </c>
      <c r="E1138" s="45">
        <f t="shared" si="859"/>
        <v>2618.999999999869</v>
      </c>
      <c r="F1138" s="45">
        <f t="shared" si="925"/>
        <v>313</v>
      </c>
      <c r="G1138" s="79">
        <f t="shared" si="926"/>
        <v>6129.999999999869</v>
      </c>
      <c r="H1138" s="199">
        <v>0</v>
      </c>
      <c r="I1138" s="199">
        <v>1806</v>
      </c>
      <c r="J1138" s="200">
        <f t="shared" si="927"/>
        <v>1806</v>
      </c>
      <c r="K1138" s="201">
        <f t="shared" si="928"/>
        <v>-4323.999999999869</v>
      </c>
      <c r="L1138" s="254">
        <v>136</v>
      </c>
      <c r="M1138" s="249">
        <v>0.60416666666666663</v>
      </c>
      <c r="N1138" s="160">
        <v>198347</v>
      </c>
      <c r="O1138" s="160">
        <v>102396</v>
      </c>
      <c r="P1138" s="160">
        <v>9705</v>
      </c>
      <c r="Q1138" s="160"/>
      <c r="R1138" s="160">
        <v>40117</v>
      </c>
      <c r="S1138" s="161">
        <v>9317.2000000000007</v>
      </c>
      <c r="T1138" s="161"/>
      <c r="U1138" s="161"/>
      <c r="V1138" s="160">
        <v>269915</v>
      </c>
      <c r="W1138" s="160">
        <v>122107</v>
      </c>
      <c r="X1138" s="160">
        <v>101750</v>
      </c>
      <c r="Y1138" s="160">
        <v>92778</v>
      </c>
      <c r="Z1138" s="160">
        <v>191052</v>
      </c>
    </row>
    <row r="1139" spans="1:26" ht="18" hidden="1" customHeight="1" x14ac:dyDescent="0.2">
      <c r="A1139" s="47">
        <f t="shared" si="905"/>
        <v>43990</v>
      </c>
      <c r="B1139" s="47" t="str">
        <f t="shared" si="860"/>
        <v>一</v>
      </c>
      <c r="C1139" s="48">
        <f t="shared" ref="C1139" si="929">(V1140-V1139)*1+(W1140-W1139)*32+(X1140-X1139)*12+(Y1140-Y1139)*6</f>
        <v>2098</v>
      </c>
      <c r="D1139" s="84">
        <f t="shared" si="858"/>
        <v>32</v>
      </c>
      <c r="E1139" s="45">
        <f t="shared" si="859"/>
        <v>1153.9999999999563</v>
      </c>
      <c r="F1139" s="45">
        <f t="shared" ref="F1139" si="930">(Z1140-Z1139)*1</f>
        <v>63</v>
      </c>
      <c r="G1139" s="79">
        <f t="shared" ref="G1139" si="931">C1139+D1139+F1139+E1139</f>
        <v>3346.9999999999563</v>
      </c>
      <c r="H1139" s="199">
        <v>3195</v>
      </c>
      <c r="I1139" s="199">
        <v>336</v>
      </c>
      <c r="J1139" s="200">
        <f t="shared" si="927"/>
        <v>3531</v>
      </c>
      <c r="K1139" s="201">
        <f t="shared" si="928"/>
        <v>184.00000000004366</v>
      </c>
      <c r="L1139" s="254">
        <v>347</v>
      </c>
      <c r="M1139" s="249">
        <v>0.41666666666666669</v>
      </c>
      <c r="N1139" s="235">
        <v>198387</v>
      </c>
      <c r="O1139" s="235">
        <v>102398</v>
      </c>
      <c r="P1139" s="235">
        <v>9716</v>
      </c>
      <c r="Q1139" s="235"/>
      <c r="R1139" s="235">
        <v>40192</v>
      </c>
      <c r="S1139" s="236">
        <v>9338.4</v>
      </c>
      <c r="T1139" s="236"/>
      <c r="U1139" s="236"/>
      <c r="V1139" s="235">
        <v>270433</v>
      </c>
      <c r="W1139" s="235">
        <v>122163</v>
      </c>
      <c r="X1139" s="235">
        <v>101790</v>
      </c>
      <c r="Y1139" s="235">
        <v>92778</v>
      </c>
      <c r="Z1139" s="235">
        <v>191365</v>
      </c>
    </row>
    <row r="1140" spans="1:26" ht="18" hidden="1" customHeight="1" x14ac:dyDescent="0.2">
      <c r="A1140" s="47">
        <f t="shared" si="905"/>
        <v>43991</v>
      </c>
      <c r="B1140" s="47" t="str">
        <f t="shared" si="860"/>
        <v>二</v>
      </c>
      <c r="C1140" s="48">
        <f t="shared" ref="C1140" si="932">(V1141-V1140)*1+(W1141-W1140)*32+(X1141-X1140)*12+(Y1141-Y1140)*6</f>
        <v>1847</v>
      </c>
      <c r="D1140" s="84">
        <f t="shared" si="858"/>
        <v>32</v>
      </c>
      <c r="E1140" s="45">
        <f t="shared" si="859"/>
        <v>116.00000000013097</v>
      </c>
      <c r="F1140" s="45">
        <f t="shared" ref="F1140" si="933">(Z1141-Z1140)*1</f>
        <v>68</v>
      </c>
      <c r="G1140" s="79">
        <f t="shared" ref="G1140" si="934">C1140+D1140+F1140+E1140</f>
        <v>2063.000000000131</v>
      </c>
      <c r="H1140" s="199">
        <v>1867</v>
      </c>
      <c r="I1140" s="199">
        <v>339</v>
      </c>
      <c r="J1140" s="200">
        <f t="shared" si="927"/>
        <v>2206</v>
      </c>
      <c r="K1140" s="201">
        <f t="shared" si="928"/>
        <v>142.99999999986903</v>
      </c>
      <c r="L1140" s="254">
        <v>209</v>
      </c>
      <c r="M1140" s="249">
        <v>0.41666666666666669</v>
      </c>
      <c r="N1140" s="235">
        <v>198387</v>
      </c>
      <c r="O1140" s="235">
        <v>102399</v>
      </c>
      <c r="P1140" s="235">
        <v>9720</v>
      </c>
      <c r="Q1140" s="235"/>
      <c r="R1140" s="235">
        <v>40218</v>
      </c>
      <c r="S1140" s="236">
        <v>9347.7999999999993</v>
      </c>
      <c r="T1140" s="236"/>
      <c r="U1140" s="236"/>
      <c r="V1140" s="235">
        <v>270619</v>
      </c>
      <c r="W1140" s="235">
        <v>122201</v>
      </c>
      <c r="X1140" s="235">
        <v>101848</v>
      </c>
      <c r="Y1140" s="235">
        <v>92778</v>
      </c>
      <c r="Z1140" s="235">
        <v>191428</v>
      </c>
    </row>
    <row r="1141" spans="1:26" ht="18" hidden="1" customHeight="1" x14ac:dyDescent="0.2">
      <c r="A1141" s="47">
        <f t="shared" si="905"/>
        <v>43992</v>
      </c>
      <c r="B1141" s="47" t="str">
        <f t="shared" si="860"/>
        <v>三</v>
      </c>
      <c r="C1141" s="48">
        <f t="shared" ref="C1141" si="935">(V1142-V1141)*1+(W1142-W1141)*32+(X1142-X1141)*12+(Y1142-Y1141)*6</f>
        <v>1652</v>
      </c>
      <c r="D1141" s="84">
        <f t="shared" si="858"/>
        <v>16</v>
      </c>
      <c r="E1141" s="45">
        <f t="shared" si="859"/>
        <v>1201.9999999999127</v>
      </c>
      <c r="F1141" s="45">
        <f t="shared" ref="F1141" si="936">(Z1142-Z1141)*1</f>
        <v>64</v>
      </c>
      <c r="G1141" s="79">
        <f t="shared" ref="G1141" si="937">C1141+D1141+F1141+E1141</f>
        <v>2933.9999999999127</v>
      </c>
      <c r="H1141" s="199">
        <v>952</v>
      </c>
      <c r="I1141" s="199">
        <v>290</v>
      </c>
      <c r="J1141" s="200">
        <f t="shared" si="927"/>
        <v>1242</v>
      </c>
      <c r="K1141" s="201">
        <f t="shared" si="928"/>
        <v>-1691.9999999999127</v>
      </c>
      <c r="L1141" s="254">
        <v>298</v>
      </c>
      <c r="M1141" s="249">
        <v>10.3</v>
      </c>
      <c r="N1141" s="235">
        <v>198387</v>
      </c>
      <c r="O1141" s="235">
        <v>102399</v>
      </c>
      <c r="P1141" s="235">
        <v>9724</v>
      </c>
      <c r="Q1141" s="235"/>
      <c r="R1141" s="235">
        <v>40238</v>
      </c>
      <c r="S1141" s="236">
        <v>9348.6</v>
      </c>
      <c r="T1141" s="236"/>
      <c r="U1141" s="236"/>
      <c r="V1141" s="235">
        <v>270798</v>
      </c>
      <c r="W1141" s="235">
        <v>122234</v>
      </c>
      <c r="X1141" s="235">
        <v>101899</v>
      </c>
      <c r="Y1141" s="235">
        <v>92778</v>
      </c>
      <c r="Z1141" s="235">
        <v>191496</v>
      </c>
    </row>
    <row r="1142" spans="1:26" ht="18" hidden="1" customHeight="1" x14ac:dyDescent="0.2">
      <c r="A1142" s="47">
        <f t="shared" si="905"/>
        <v>43993</v>
      </c>
      <c r="B1142" s="47" t="str">
        <f t="shared" si="860"/>
        <v>四</v>
      </c>
      <c r="C1142" s="48">
        <f t="shared" ref="C1142" si="938">(V1143-V1142)*1+(W1143-W1142)*32+(X1143-X1142)*12+(Y1143-Y1142)*6</f>
        <v>1764</v>
      </c>
      <c r="D1142" s="84">
        <f t="shared" si="858"/>
        <v>224</v>
      </c>
      <c r="E1142" s="45">
        <f t="shared" si="859"/>
        <v>117.00000000013097</v>
      </c>
      <c r="F1142" s="45">
        <f t="shared" ref="F1142" si="939">(Z1143-Z1142)*1</f>
        <v>124</v>
      </c>
      <c r="G1142" s="79">
        <f t="shared" ref="G1142" si="940">C1142+D1142+F1142+E1142</f>
        <v>2229.000000000131</v>
      </c>
      <c r="H1142" s="199">
        <v>1847</v>
      </c>
      <c r="I1142" s="199">
        <v>369</v>
      </c>
      <c r="J1142" s="200">
        <f t="shared" si="927"/>
        <v>2216</v>
      </c>
      <c r="K1142" s="201">
        <f t="shared" si="928"/>
        <v>-13.000000000130967</v>
      </c>
      <c r="L1142" s="254">
        <v>204</v>
      </c>
      <c r="M1142" s="249">
        <v>0.45833333333333331</v>
      </c>
      <c r="N1142" s="235">
        <v>198387</v>
      </c>
      <c r="O1142" s="235">
        <v>102401</v>
      </c>
      <c r="P1142" s="235">
        <v>9726</v>
      </c>
      <c r="Q1142" s="235"/>
      <c r="R1142" s="235">
        <v>40264</v>
      </c>
      <c r="S1142" s="236">
        <v>9358.4</v>
      </c>
      <c r="T1142" s="236"/>
      <c r="U1142" s="236"/>
      <c r="V1142" s="235">
        <v>270998</v>
      </c>
      <c r="W1142" s="235">
        <v>122267</v>
      </c>
      <c r="X1142" s="235">
        <v>101932</v>
      </c>
      <c r="Y1142" s="235">
        <v>92778</v>
      </c>
      <c r="Z1142" s="235">
        <v>191560</v>
      </c>
    </row>
    <row r="1143" spans="1:26" ht="18" hidden="1" customHeight="1" x14ac:dyDescent="0.2">
      <c r="A1143" s="47">
        <f t="shared" si="905"/>
        <v>43994</v>
      </c>
      <c r="B1143" s="47" t="str">
        <f t="shared" si="860"/>
        <v>五</v>
      </c>
      <c r="C1143" s="48">
        <f t="shared" ref="C1143:C1145" si="941">(V1144-V1143)*1+(W1144-W1143)*32+(X1144-X1143)*12+(Y1144-Y1143)*6</f>
        <v>0</v>
      </c>
      <c r="D1143" s="84">
        <f t="shared" si="858"/>
        <v>0</v>
      </c>
      <c r="E1143" s="45">
        <f t="shared" si="859"/>
        <v>0</v>
      </c>
      <c r="F1143" s="45">
        <f t="shared" ref="F1143:F1145" si="942">(Z1144-Z1143)*1</f>
        <v>0</v>
      </c>
      <c r="G1143" s="79">
        <f t="shared" ref="G1143:G1145" si="943">C1143+D1143+F1143+E1143</f>
        <v>0</v>
      </c>
      <c r="H1143" s="199">
        <v>2825</v>
      </c>
      <c r="I1143" s="199">
        <v>367</v>
      </c>
      <c r="J1143" s="200">
        <f t="shared" si="927"/>
        <v>3192</v>
      </c>
      <c r="K1143" s="201">
        <f t="shared" si="928"/>
        <v>3192</v>
      </c>
      <c r="L1143" s="254">
        <v>335</v>
      </c>
      <c r="M1143" s="249">
        <v>0.42708333333333331</v>
      </c>
      <c r="N1143" s="235">
        <v>198407</v>
      </c>
      <c r="O1143" s="235">
        <v>102404</v>
      </c>
      <c r="P1143" s="235">
        <v>9734</v>
      </c>
      <c r="Q1143" s="235"/>
      <c r="R1143" s="235">
        <v>40285</v>
      </c>
      <c r="S1143" s="236">
        <v>9359.2000000000007</v>
      </c>
      <c r="T1143" s="236"/>
      <c r="U1143" s="236"/>
      <c r="V1143" s="235">
        <v>271198</v>
      </c>
      <c r="W1143" s="235">
        <v>122302</v>
      </c>
      <c r="X1143" s="235">
        <v>101969</v>
      </c>
      <c r="Y1143" s="235">
        <v>92778</v>
      </c>
      <c r="Z1143" s="235">
        <v>191684</v>
      </c>
    </row>
    <row r="1144" spans="1:26" ht="18" hidden="1" customHeight="1" x14ac:dyDescent="0.2">
      <c r="A1144" s="47">
        <f t="shared" si="905"/>
        <v>43995</v>
      </c>
      <c r="B1144" s="47" t="str">
        <f t="shared" si="860"/>
        <v>六</v>
      </c>
      <c r="C1144" s="48">
        <f t="shared" si="941"/>
        <v>0</v>
      </c>
      <c r="D1144" s="84">
        <f t="shared" si="858"/>
        <v>0</v>
      </c>
      <c r="E1144" s="45">
        <f t="shared" si="859"/>
        <v>0</v>
      </c>
      <c r="F1144" s="45">
        <f t="shared" si="942"/>
        <v>0</v>
      </c>
      <c r="G1144" s="79">
        <f t="shared" si="943"/>
        <v>0</v>
      </c>
      <c r="H1144" s="199">
        <v>0</v>
      </c>
      <c r="I1144" s="199">
        <f>985+279</f>
        <v>1264</v>
      </c>
      <c r="J1144" s="200">
        <f t="shared" si="927"/>
        <v>1264</v>
      </c>
      <c r="K1144" s="201">
        <f t="shared" si="928"/>
        <v>1264</v>
      </c>
      <c r="L1144" s="254">
        <v>129</v>
      </c>
      <c r="M1144" s="249" t="s">
        <v>163</v>
      </c>
      <c r="N1144" s="153">
        <v>198407</v>
      </c>
      <c r="O1144" s="153">
        <v>102404</v>
      </c>
      <c r="P1144" s="153">
        <v>9734</v>
      </c>
      <c r="Q1144" s="153"/>
      <c r="R1144" s="153">
        <v>40285</v>
      </c>
      <c r="S1144" s="154">
        <v>9359.2000000000007</v>
      </c>
      <c r="T1144" s="154"/>
      <c r="U1144" s="154"/>
      <c r="V1144" s="153">
        <v>271198</v>
      </c>
      <c r="W1144" s="153">
        <v>122302</v>
      </c>
      <c r="X1144" s="153">
        <v>101969</v>
      </c>
      <c r="Y1144" s="153">
        <v>92778</v>
      </c>
      <c r="Z1144" s="153">
        <v>191684</v>
      </c>
    </row>
    <row r="1145" spans="1:26" ht="18" hidden="1" customHeight="1" x14ac:dyDescent="0.2">
      <c r="A1145" s="47">
        <f t="shared" si="905"/>
        <v>43996</v>
      </c>
      <c r="B1145" s="47" t="str">
        <f t="shared" si="860"/>
        <v>日</v>
      </c>
      <c r="C1145" s="48">
        <f t="shared" si="941"/>
        <v>2622</v>
      </c>
      <c r="D1145" s="84">
        <f t="shared" si="858"/>
        <v>168</v>
      </c>
      <c r="E1145" s="45">
        <f t="shared" si="859"/>
        <v>2675.999999999869</v>
      </c>
      <c r="F1145" s="45">
        <f t="shared" si="942"/>
        <v>292</v>
      </c>
      <c r="G1145" s="79">
        <f t="shared" si="943"/>
        <v>5757.999999999869</v>
      </c>
      <c r="H1145" s="199">
        <v>0</v>
      </c>
      <c r="I1145" s="199">
        <v>1746</v>
      </c>
      <c r="J1145" s="200">
        <f t="shared" si="927"/>
        <v>1746</v>
      </c>
      <c r="K1145" s="201">
        <f t="shared" si="928"/>
        <v>-4011.999999999869</v>
      </c>
      <c r="L1145" s="254">
        <v>130</v>
      </c>
      <c r="M1145" s="249" t="s">
        <v>164</v>
      </c>
      <c r="N1145" s="153">
        <v>198407</v>
      </c>
      <c r="O1145" s="153">
        <v>102404</v>
      </c>
      <c r="P1145" s="153">
        <v>9734</v>
      </c>
      <c r="Q1145" s="153"/>
      <c r="R1145" s="153">
        <v>40285</v>
      </c>
      <c r="S1145" s="154">
        <v>9359.2000000000007</v>
      </c>
      <c r="T1145" s="154"/>
      <c r="U1145" s="154"/>
      <c r="V1145" s="153">
        <v>271198</v>
      </c>
      <c r="W1145" s="153">
        <v>122302</v>
      </c>
      <c r="X1145" s="153">
        <v>101969</v>
      </c>
      <c r="Y1145" s="153">
        <v>92778</v>
      </c>
      <c r="Z1145" s="153">
        <v>191684</v>
      </c>
    </row>
    <row r="1146" spans="1:26" ht="18" hidden="1" customHeight="1" x14ac:dyDescent="0.2">
      <c r="A1146" s="47">
        <f t="shared" si="905"/>
        <v>43997</v>
      </c>
      <c r="B1146" s="47" t="str">
        <f t="shared" si="860"/>
        <v>一</v>
      </c>
      <c r="C1146" s="48">
        <f t="shared" ref="C1146" si="944">(V1147-V1146)*1+(W1147-W1146)*32+(X1147-X1146)*12+(Y1147-Y1146)*6</f>
        <v>1955</v>
      </c>
      <c r="D1146" s="84">
        <f t="shared" si="858"/>
        <v>24</v>
      </c>
      <c r="E1146" s="45">
        <f t="shared" si="859"/>
        <v>1141.000000000131</v>
      </c>
      <c r="F1146" s="45">
        <f t="shared" ref="F1146" si="945">(Z1147-Z1146)*1</f>
        <v>122</v>
      </c>
      <c r="G1146" s="79">
        <f t="shared" ref="G1146" si="946">C1146+D1146+F1146+E1146</f>
        <v>3242.000000000131</v>
      </c>
      <c r="H1146" s="199">
        <v>3011</v>
      </c>
      <c r="I1146" s="199">
        <v>335</v>
      </c>
      <c r="J1146" s="200">
        <f t="shared" si="927"/>
        <v>3346</v>
      </c>
      <c r="K1146" s="201">
        <f t="shared" si="928"/>
        <v>103.99999999986903</v>
      </c>
      <c r="L1146" s="254">
        <v>313</v>
      </c>
      <c r="M1146" s="249">
        <v>0.48958333333333331</v>
      </c>
      <c r="N1146" s="235">
        <v>198417</v>
      </c>
      <c r="O1146" s="235">
        <v>12407</v>
      </c>
      <c r="P1146" s="235">
        <v>9745</v>
      </c>
      <c r="Q1146" s="235"/>
      <c r="R1146" s="235">
        <v>40357</v>
      </c>
      <c r="S1146" s="236">
        <v>9380.9</v>
      </c>
      <c r="T1146" s="236"/>
      <c r="U1146" s="236"/>
      <c r="V1146" s="235">
        <v>271704</v>
      </c>
      <c r="W1146" s="235">
        <v>122355</v>
      </c>
      <c r="X1146" s="235">
        <v>102004</v>
      </c>
      <c r="Y1146" s="235">
        <v>92778</v>
      </c>
      <c r="Z1146" s="235">
        <v>191976</v>
      </c>
    </row>
    <row r="1147" spans="1:26" ht="18" hidden="1" customHeight="1" x14ac:dyDescent="0.2">
      <c r="A1147" s="47">
        <f t="shared" si="905"/>
        <v>43998</v>
      </c>
      <c r="B1147" s="47" t="str">
        <f t="shared" si="860"/>
        <v>二</v>
      </c>
      <c r="C1147" s="48">
        <f t="shared" ref="C1147" si="947">(V1148-V1147)*1+(W1148-W1147)*32+(X1148-X1147)*12+(Y1148-Y1147)*6</f>
        <v>1631</v>
      </c>
      <c r="D1147" s="84">
        <f t="shared" si="858"/>
        <v>48</v>
      </c>
      <c r="E1147" s="45">
        <f t="shared" si="859"/>
        <v>103.99999999986903</v>
      </c>
      <c r="F1147" s="45">
        <f t="shared" ref="F1147" si="948">(Z1148-Z1147)*1</f>
        <v>109</v>
      </c>
      <c r="G1147" s="79">
        <f t="shared" ref="G1147" si="949">C1147+D1147+F1147+E1147</f>
        <v>1891.999999999869</v>
      </c>
      <c r="H1147" s="199">
        <v>1680</v>
      </c>
      <c r="I1147" s="199">
        <v>360</v>
      </c>
      <c r="J1147" s="200">
        <f t="shared" si="927"/>
        <v>2040</v>
      </c>
      <c r="K1147" s="201">
        <f t="shared" si="928"/>
        <v>148.00000000013097</v>
      </c>
      <c r="L1147" s="254">
        <v>216</v>
      </c>
      <c r="M1147" s="249">
        <v>0.46875</v>
      </c>
      <c r="N1147" s="235">
        <v>198417</v>
      </c>
      <c r="O1147" s="235">
        <v>12407</v>
      </c>
      <c r="P1147" s="235">
        <v>9748</v>
      </c>
      <c r="Q1147" s="235"/>
      <c r="R1147" s="235">
        <v>40382</v>
      </c>
      <c r="S1147" s="236">
        <v>9390.2000000000007</v>
      </c>
      <c r="T1147" s="236"/>
      <c r="U1147" s="236"/>
      <c r="V1147" s="235">
        <v>271927</v>
      </c>
      <c r="W1147" s="235">
        <v>122393</v>
      </c>
      <c r="X1147" s="235">
        <v>102047</v>
      </c>
      <c r="Y1147" s="235">
        <v>92778</v>
      </c>
      <c r="Z1147" s="235">
        <v>192098</v>
      </c>
    </row>
    <row r="1148" spans="1:26" ht="18" hidden="1" customHeight="1" x14ac:dyDescent="0.2">
      <c r="A1148" s="47">
        <f t="shared" si="905"/>
        <v>43999</v>
      </c>
      <c r="B1148" s="47" t="str">
        <f t="shared" si="860"/>
        <v>三</v>
      </c>
      <c r="C1148" s="48">
        <f t="shared" ref="C1148" si="950">(V1149-V1148)*1+(W1149-W1148)*32+(X1149-X1148)*12+(Y1149-Y1148)*6</f>
        <v>1653</v>
      </c>
      <c r="D1148" s="84">
        <f t="shared" si="858"/>
        <v>40</v>
      </c>
      <c r="E1148" s="45">
        <f t="shared" si="859"/>
        <v>1219.9999999999563</v>
      </c>
      <c r="F1148" s="45">
        <f t="shared" ref="F1148" si="951">(Z1149-Z1148)*1</f>
        <v>90</v>
      </c>
      <c r="G1148" s="79">
        <f t="shared" ref="G1148" si="952">C1148+D1148+F1148+E1148</f>
        <v>3002.9999999999563</v>
      </c>
      <c r="H1148" s="199">
        <v>2695</v>
      </c>
      <c r="I1148" s="199">
        <v>391</v>
      </c>
      <c r="J1148" s="200">
        <f t="shared" si="927"/>
        <v>3086</v>
      </c>
      <c r="K1148" s="201">
        <f t="shared" si="928"/>
        <v>83.000000000043656</v>
      </c>
      <c r="L1148" s="254">
        <v>291</v>
      </c>
      <c r="M1148" s="249">
        <v>0.45833333333333331</v>
      </c>
      <c r="N1148" s="235">
        <v>198417</v>
      </c>
      <c r="O1148" s="235">
        <v>12407</v>
      </c>
      <c r="P1148" s="235">
        <v>9754</v>
      </c>
      <c r="Q1148" s="235"/>
      <c r="R1148" s="235">
        <v>40402</v>
      </c>
      <c r="S1148" s="236">
        <v>9390.9</v>
      </c>
      <c r="T1148" s="236"/>
      <c r="U1148" s="236"/>
      <c r="V1148" s="235">
        <v>272118</v>
      </c>
      <c r="W1148" s="235">
        <v>122426</v>
      </c>
      <c r="X1148" s="235">
        <v>102079</v>
      </c>
      <c r="Y1148" s="235">
        <v>92778</v>
      </c>
      <c r="Z1148" s="235">
        <v>192207</v>
      </c>
    </row>
    <row r="1149" spans="1:26" ht="18" hidden="1" customHeight="1" x14ac:dyDescent="0.2">
      <c r="A1149" s="47">
        <f t="shared" si="905"/>
        <v>44000</v>
      </c>
      <c r="B1149" s="47" t="str">
        <f t="shared" si="860"/>
        <v>四</v>
      </c>
      <c r="C1149" s="48">
        <f t="shared" ref="C1149" si="953">(V1150-V1149)*1+(W1150-W1149)*32+(X1150-X1149)*12+(Y1150-Y1149)*6</f>
        <v>1671</v>
      </c>
      <c r="D1149" s="84">
        <f t="shared" si="858"/>
        <v>24</v>
      </c>
      <c r="E1149" s="45">
        <f t="shared" si="859"/>
        <v>104.00000000008731</v>
      </c>
      <c r="F1149" s="45">
        <f t="shared" ref="F1149" si="954">(Z1150-Z1149)*1</f>
        <v>98</v>
      </c>
      <c r="G1149" s="79">
        <f t="shared" ref="G1149" si="955">C1149+D1149+F1149+E1149</f>
        <v>1897.0000000000873</v>
      </c>
      <c r="H1149" s="199">
        <v>1491</v>
      </c>
      <c r="I1149" s="199">
        <v>390</v>
      </c>
      <c r="J1149" s="200">
        <f t="shared" si="927"/>
        <v>1881</v>
      </c>
      <c r="K1149" s="201">
        <f t="shared" si="928"/>
        <v>-16.000000000087311</v>
      </c>
      <c r="L1149" s="254">
        <v>183</v>
      </c>
      <c r="M1149" s="249">
        <v>0.44791666666666669</v>
      </c>
      <c r="N1149" s="235">
        <v>198417</v>
      </c>
      <c r="O1149" s="235">
        <v>12407</v>
      </c>
      <c r="P1149" s="235">
        <v>9759</v>
      </c>
      <c r="Q1149" s="235"/>
      <c r="R1149" s="235">
        <v>40434</v>
      </c>
      <c r="S1149" s="236">
        <v>9400.7999999999993</v>
      </c>
      <c r="T1149" s="236"/>
      <c r="U1149" s="236"/>
      <c r="V1149" s="235">
        <v>272351</v>
      </c>
      <c r="W1149" s="235">
        <v>122461</v>
      </c>
      <c r="X1149" s="235">
        <v>102104</v>
      </c>
      <c r="Y1149" s="235">
        <v>92778</v>
      </c>
      <c r="Z1149" s="235">
        <v>192297</v>
      </c>
    </row>
    <row r="1150" spans="1:26" ht="18" hidden="1" customHeight="1" x14ac:dyDescent="0.2">
      <c r="A1150" s="47">
        <f t="shared" si="905"/>
        <v>44001</v>
      </c>
      <c r="B1150" s="47" t="str">
        <f t="shared" si="860"/>
        <v>五</v>
      </c>
      <c r="C1150" s="48">
        <f t="shared" ref="C1150:C1152" si="956">(V1151-V1150)*1+(W1151-W1150)*32+(X1151-X1150)*12+(Y1151-Y1150)*6</f>
        <v>0</v>
      </c>
      <c r="D1150" s="84">
        <f t="shared" si="858"/>
        <v>0</v>
      </c>
      <c r="E1150" s="45">
        <f t="shared" si="859"/>
        <v>0</v>
      </c>
      <c r="F1150" s="45">
        <f t="shared" ref="F1150:F1152" si="957">(Z1151-Z1150)*1</f>
        <v>0</v>
      </c>
      <c r="G1150" s="79">
        <f t="shared" ref="G1150:G1152" si="958">C1150+D1150+F1150+E1150</f>
        <v>0</v>
      </c>
      <c r="H1150" s="199">
        <v>2603</v>
      </c>
      <c r="I1150" s="199">
        <v>378</v>
      </c>
      <c r="J1150" s="200">
        <f t="shared" si="927"/>
        <v>2981</v>
      </c>
      <c r="K1150" s="201">
        <f t="shared" si="928"/>
        <v>2981</v>
      </c>
      <c r="L1150" s="254">
        <v>281</v>
      </c>
      <c r="M1150" s="249">
        <v>0.57291666666666663</v>
      </c>
      <c r="N1150" s="235">
        <v>198417</v>
      </c>
      <c r="O1150" s="235">
        <v>12407</v>
      </c>
      <c r="P1150" s="235">
        <v>9762</v>
      </c>
      <c r="Q1150" s="235"/>
      <c r="R1150" s="235">
        <v>40454</v>
      </c>
      <c r="S1150" s="236">
        <v>9401.5</v>
      </c>
      <c r="T1150" s="236"/>
      <c r="U1150" s="236"/>
      <c r="V1150" s="235">
        <v>272554</v>
      </c>
      <c r="W1150" s="235">
        <v>122499</v>
      </c>
      <c r="X1150" s="235">
        <v>102125</v>
      </c>
      <c r="Y1150" s="235">
        <v>92778</v>
      </c>
      <c r="Z1150" s="235">
        <v>192395</v>
      </c>
    </row>
    <row r="1151" spans="1:26" ht="18" hidden="1" customHeight="1" x14ac:dyDescent="0.2">
      <c r="A1151" s="47">
        <f t="shared" si="905"/>
        <v>44002</v>
      </c>
      <c r="B1151" s="47" t="str">
        <f t="shared" si="860"/>
        <v>六</v>
      </c>
      <c r="C1151" s="48">
        <f t="shared" si="956"/>
        <v>0</v>
      </c>
      <c r="D1151" s="84">
        <f t="shared" si="858"/>
        <v>0</v>
      </c>
      <c r="E1151" s="45">
        <f t="shared" si="859"/>
        <v>0</v>
      </c>
      <c r="F1151" s="45">
        <f t="shared" si="957"/>
        <v>0</v>
      </c>
      <c r="G1151" s="79">
        <f t="shared" si="958"/>
        <v>0</v>
      </c>
      <c r="H1151" s="199">
        <v>0</v>
      </c>
      <c r="I1151" s="199">
        <f>319+1015</f>
        <v>1334</v>
      </c>
      <c r="J1151" s="200">
        <f t="shared" si="927"/>
        <v>1334</v>
      </c>
      <c r="K1151" s="201">
        <f t="shared" si="928"/>
        <v>1334</v>
      </c>
      <c r="L1151" s="254">
        <v>145</v>
      </c>
      <c r="M1151" s="249">
        <v>0.40625</v>
      </c>
      <c r="N1151" s="153">
        <v>198417</v>
      </c>
      <c r="O1151" s="153">
        <v>12407</v>
      </c>
      <c r="P1151" s="153">
        <v>9762</v>
      </c>
      <c r="Q1151" s="153"/>
      <c r="R1151" s="153">
        <v>40454</v>
      </c>
      <c r="S1151" s="154">
        <v>9401.5</v>
      </c>
      <c r="T1151" s="154"/>
      <c r="U1151" s="154"/>
      <c r="V1151" s="153">
        <v>272554</v>
      </c>
      <c r="W1151" s="153">
        <v>122499</v>
      </c>
      <c r="X1151" s="153">
        <v>102125</v>
      </c>
      <c r="Y1151" s="153">
        <v>92778</v>
      </c>
      <c r="Z1151" s="153">
        <v>192395</v>
      </c>
    </row>
    <row r="1152" spans="1:26" ht="18" hidden="1" customHeight="1" x14ac:dyDescent="0.2">
      <c r="A1152" s="47">
        <f t="shared" si="905"/>
        <v>44003</v>
      </c>
      <c r="B1152" s="47" t="str">
        <f t="shared" si="860"/>
        <v>日</v>
      </c>
      <c r="C1152" s="48">
        <f t="shared" si="956"/>
        <v>2450</v>
      </c>
      <c r="D1152" s="84">
        <f t="shared" si="858"/>
        <v>72</v>
      </c>
      <c r="E1152" s="45">
        <f t="shared" si="859"/>
        <v>2865.0000000000437</v>
      </c>
      <c r="F1152" s="45">
        <f t="shared" si="957"/>
        <v>372</v>
      </c>
      <c r="G1152" s="79">
        <f t="shared" si="958"/>
        <v>5759.0000000000437</v>
      </c>
      <c r="H1152" s="199">
        <v>0</v>
      </c>
      <c r="I1152" s="199">
        <v>1908</v>
      </c>
      <c r="J1152" s="200">
        <f t="shared" si="927"/>
        <v>1908</v>
      </c>
      <c r="K1152" s="201">
        <f t="shared" si="928"/>
        <v>-3851.0000000000437</v>
      </c>
      <c r="L1152" s="254">
        <v>140</v>
      </c>
      <c r="M1152" s="249">
        <v>0.46875</v>
      </c>
      <c r="N1152" s="153">
        <v>198417</v>
      </c>
      <c r="O1152" s="153">
        <v>12407</v>
      </c>
      <c r="P1152" s="153">
        <v>9762</v>
      </c>
      <c r="Q1152" s="153"/>
      <c r="R1152" s="153">
        <v>40454</v>
      </c>
      <c r="S1152" s="154">
        <v>9401.5</v>
      </c>
      <c r="T1152" s="154"/>
      <c r="U1152" s="154"/>
      <c r="V1152" s="153">
        <v>272554</v>
      </c>
      <c r="W1152" s="153">
        <v>122499</v>
      </c>
      <c r="X1152" s="153">
        <v>102125</v>
      </c>
      <c r="Y1152" s="153">
        <v>92778</v>
      </c>
      <c r="Z1152" s="153">
        <v>192395</v>
      </c>
    </row>
    <row r="1153" spans="1:26" ht="18" hidden="1" customHeight="1" x14ac:dyDescent="0.2">
      <c r="A1153" s="47">
        <f t="shared" si="905"/>
        <v>44004</v>
      </c>
      <c r="B1153" s="47" t="str">
        <f t="shared" si="860"/>
        <v>一</v>
      </c>
      <c r="C1153" s="48">
        <f t="shared" ref="C1153" si="959">(V1154-V1153)*1+(W1154-W1153)*32+(X1154-X1153)*12+(Y1154-Y1153)*6</f>
        <v>2519</v>
      </c>
      <c r="D1153" s="84">
        <f t="shared" si="858"/>
        <v>32</v>
      </c>
      <c r="E1153" s="45">
        <f t="shared" si="859"/>
        <v>954.99999999986903</v>
      </c>
      <c r="F1153" s="45">
        <f t="shared" ref="F1153" si="960">(Z1154-Z1153)*1</f>
        <v>45</v>
      </c>
      <c r="G1153" s="79">
        <f t="shared" ref="G1153" si="961">C1153+D1153+F1153+E1153</f>
        <v>3550.999999999869</v>
      </c>
      <c r="H1153" s="199">
        <v>3395</v>
      </c>
      <c r="I1153" s="199">
        <v>390</v>
      </c>
      <c r="J1153" s="200">
        <f t="shared" si="927"/>
        <v>3785</v>
      </c>
      <c r="K1153" s="201">
        <f t="shared" si="928"/>
        <v>234.00000000013097</v>
      </c>
      <c r="L1153" s="254">
        <v>312</v>
      </c>
      <c r="M1153" s="249">
        <v>0.46875</v>
      </c>
      <c r="N1153" s="235">
        <v>198417</v>
      </c>
      <c r="O1153" s="235">
        <v>12407</v>
      </c>
      <c r="P1153" s="235">
        <v>9771</v>
      </c>
      <c r="Q1153" s="235"/>
      <c r="R1153" s="235">
        <v>40547</v>
      </c>
      <c r="S1153" s="236">
        <v>9424.6</v>
      </c>
      <c r="T1153" s="236"/>
      <c r="U1153" s="236"/>
      <c r="V1153" s="235">
        <v>273116</v>
      </c>
      <c r="W1153" s="235">
        <v>122549</v>
      </c>
      <c r="X1153" s="235">
        <v>102149</v>
      </c>
      <c r="Y1153" s="235">
        <v>92778</v>
      </c>
      <c r="Z1153" s="235">
        <v>192767</v>
      </c>
    </row>
    <row r="1154" spans="1:26" ht="18" hidden="1" customHeight="1" x14ac:dyDescent="0.2">
      <c r="A1154" s="47">
        <f t="shared" si="905"/>
        <v>44005</v>
      </c>
      <c r="B1154" s="47" t="str">
        <f t="shared" si="860"/>
        <v>二</v>
      </c>
      <c r="C1154" s="48">
        <f t="shared" ref="C1154" si="962">(V1155-V1154)*1+(W1155-W1154)*32+(X1155-X1154)*12+(Y1155-Y1154)*6</f>
        <v>2681</v>
      </c>
      <c r="D1154" s="84">
        <f t="shared" si="858"/>
        <v>24</v>
      </c>
      <c r="E1154" s="45">
        <f t="shared" si="859"/>
        <v>676.00000000017462</v>
      </c>
      <c r="F1154" s="45">
        <f t="shared" ref="F1154" si="963">(Z1155-Z1154)*1</f>
        <v>110</v>
      </c>
      <c r="G1154" s="79">
        <f t="shared" ref="G1154" si="964">C1154+D1154+F1154+E1154</f>
        <v>3491.0000000001746</v>
      </c>
      <c r="H1154" s="199">
        <v>2943</v>
      </c>
      <c r="I1154" s="199">
        <v>335</v>
      </c>
      <c r="J1154" s="200">
        <f t="shared" si="927"/>
        <v>3278</v>
      </c>
      <c r="K1154" s="201">
        <f t="shared" si="928"/>
        <v>-213.00000000017462</v>
      </c>
      <c r="L1154" s="254">
        <v>306</v>
      </c>
      <c r="M1154" s="249">
        <v>0.46875</v>
      </c>
      <c r="N1154" s="235">
        <v>198417</v>
      </c>
      <c r="O1154" s="235">
        <v>12407</v>
      </c>
      <c r="P1154" s="235">
        <v>9775</v>
      </c>
      <c r="Q1154" s="235"/>
      <c r="R1154" s="235">
        <v>40578</v>
      </c>
      <c r="S1154" s="236">
        <v>9432.2999999999993</v>
      </c>
      <c r="T1154" s="236"/>
      <c r="U1154" s="236"/>
      <c r="V1154" s="235">
        <v>273359</v>
      </c>
      <c r="W1154" s="235">
        <v>122595</v>
      </c>
      <c r="X1154" s="235">
        <v>102216</v>
      </c>
      <c r="Y1154" s="235">
        <v>92778</v>
      </c>
      <c r="Z1154" s="235">
        <v>192812</v>
      </c>
    </row>
    <row r="1155" spans="1:26" ht="18" hidden="1" customHeight="1" x14ac:dyDescent="0.2">
      <c r="A1155" s="47">
        <f t="shared" si="905"/>
        <v>44006</v>
      </c>
      <c r="B1155" s="47" t="str">
        <f t="shared" si="860"/>
        <v>三</v>
      </c>
      <c r="C1155" s="48">
        <f t="shared" ref="C1155:C1159" si="965">(V1156-V1155)*1+(W1156-W1155)*32+(X1156-X1155)*12+(Y1156-Y1155)*6</f>
        <v>0</v>
      </c>
      <c r="D1155" s="84">
        <f t="shared" si="858"/>
        <v>0</v>
      </c>
      <c r="E1155" s="45">
        <f t="shared" si="859"/>
        <v>0</v>
      </c>
      <c r="F1155" s="45">
        <f t="shared" ref="F1155:F1159" si="966">(Z1156-Z1155)*1</f>
        <v>0</v>
      </c>
      <c r="G1155" s="79">
        <f t="shared" ref="G1155:G1159" si="967">C1155+D1155+F1155+E1155</f>
        <v>0</v>
      </c>
      <c r="H1155" s="199">
        <v>2607</v>
      </c>
      <c r="I1155" s="199">
        <v>387</v>
      </c>
      <c r="J1155" s="200">
        <f t="shared" si="927"/>
        <v>2994</v>
      </c>
      <c r="K1155" s="201">
        <f t="shared" si="928"/>
        <v>2994</v>
      </c>
      <c r="L1155" s="254">
        <v>318</v>
      </c>
      <c r="M1155" s="249">
        <v>0.42708333333333331</v>
      </c>
      <c r="N1155" s="235">
        <v>198417</v>
      </c>
      <c r="O1155" s="235">
        <v>12401</v>
      </c>
      <c r="P1155" s="235">
        <v>9778</v>
      </c>
      <c r="Q1155" s="235"/>
      <c r="R1155" s="235">
        <v>40606</v>
      </c>
      <c r="S1155" s="236">
        <v>9437.7000000000007</v>
      </c>
      <c r="T1155" s="236"/>
      <c r="U1155" s="236"/>
      <c r="V1155" s="235">
        <v>273604</v>
      </c>
      <c r="W1155" s="235">
        <v>122649</v>
      </c>
      <c r="X1155" s="235">
        <v>102275</v>
      </c>
      <c r="Y1155" s="235">
        <v>92778</v>
      </c>
      <c r="Z1155" s="235">
        <v>192922</v>
      </c>
    </row>
    <row r="1156" spans="1:26" ht="18" hidden="1" customHeight="1" x14ac:dyDescent="0.2">
      <c r="A1156" s="47">
        <f t="shared" si="905"/>
        <v>44007</v>
      </c>
      <c r="B1156" s="47" t="str">
        <f t="shared" si="860"/>
        <v>四</v>
      </c>
      <c r="C1156" s="48">
        <f t="shared" si="965"/>
        <v>0</v>
      </c>
      <c r="D1156" s="84">
        <f t="shared" si="858"/>
        <v>0</v>
      </c>
      <c r="E1156" s="45">
        <f t="shared" si="859"/>
        <v>0</v>
      </c>
      <c r="F1156" s="45">
        <f t="shared" si="966"/>
        <v>0</v>
      </c>
      <c r="G1156" s="79">
        <f t="shared" si="967"/>
        <v>0</v>
      </c>
      <c r="H1156" s="199">
        <v>0</v>
      </c>
      <c r="I1156" s="199">
        <v>1503</v>
      </c>
      <c r="J1156" s="200">
        <f t="shared" si="927"/>
        <v>1503</v>
      </c>
      <c r="K1156" s="201">
        <f t="shared" si="928"/>
        <v>1503</v>
      </c>
      <c r="L1156" s="254">
        <v>143</v>
      </c>
      <c r="M1156" s="249">
        <v>0.40625</v>
      </c>
      <c r="N1156" s="153">
        <v>198417</v>
      </c>
      <c r="O1156" s="153">
        <v>12401</v>
      </c>
      <c r="P1156" s="153">
        <v>9778</v>
      </c>
      <c r="Q1156" s="153"/>
      <c r="R1156" s="153">
        <v>40606</v>
      </c>
      <c r="S1156" s="154">
        <v>9437.7000000000007</v>
      </c>
      <c r="T1156" s="154"/>
      <c r="U1156" s="154"/>
      <c r="V1156" s="153">
        <v>273604</v>
      </c>
      <c r="W1156" s="153">
        <v>122649</v>
      </c>
      <c r="X1156" s="153">
        <v>102275</v>
      </c>
      <c r="Y1156" s="153">
        <v>92778</v>
      </c>
      <c r="Z1156" s="153">
        <v>192922</v>
      </c>
    </row>
    <row r="1157" spans="1:26" ht="18" hidden="1" customHeight="1" x14ac:dyDescent="0.2">
      <c r="A1157" s="47">
        <f t="shared" si="905"/>
        <v>44008</v>
      </c>
      <c r="B1157" s="47" t="str">
        <f t="shared" si="860"/>
        <v>五</v>
      </c>
      <c r="C1157" s="48">
        <f t="shared" si="965"/>
        <v>0</v>
      </c>
      <c r="D1157" s="84">
        <f t="shared" si="858"/>
        <v>0</v>
      </c>
      <c r="E1157" s="45">
        <f t="shared" si="859"/>
        <v>0</v>
      </c>
      <c r="F1157" s="45">
        <f t="shared" si="966"/>
        <v>0</v>
      </c>
      <c r="G1157" s="79">
        <f t="shared" si="967"/>
        <v>0</v>
      </c>
      <c r="H1157" s="199">
        <v>1259</v>
      </c>
      <c r="I1157" s="199">
        <v>319</v>
      </c>
      <c r="J1157" s="200">
        <f t="shared" si="927"/>
        <v>1578</v>
      </c>
      <c r="K1157" s="201">
        <f t="shared" si="928"/>
        <v>1578</v>
      </c>
      <c r="L1157" s="254">
        <v>150</v>
      </c>
      <c r="M1157" s="249">
        <v>0.58333333333333337</v>
      </c>
      <c r="N1157" s="153">
        <v>198417</v>
      </c>
      <c r="O1157" s="153">
        <v>12401</v>
      </c>
      <c r="P1157" s="153">
        <v>9778</v>
      </c>
      <c r="Q1157" s="153"/>
      <c r="R1157" s="153">
        <v>40606</v>
      </c>
      <c r="S1157" s="154">
        <v>9437.7000000000007</v>
      </c>
      <c r="T1157" s="154"/>
      <c r="U1157" s="154"/>
      <c r="V1157" s="153">
        <v>273604</v>
      </c>
      <c r="W1157" s="153">
        <v>122649</v>
      </c>
      <c r="X1157" s="153">
        <v>102275</v>
      </c>
      <c r="Y1157" s="153">
        <v>92778</v>
      </c>
      <c r="Z1157" s="153">
        <v>192922</v>
      </c>
    </row>
    <row r="1158" spans="1:26" ht="18" hidden="1" customHeight="1" x14ac:dyDescent="0.2">
      <c r="A1158" s="47">
        <f t="shared" si="905"/>
        <v>44009</v>
      </c>
      <c r="B1158" s="47" t="str">
        <f t="shared" si="860"/>
        <v>六</v>
      </c>
      <c r="C1158" s="48">
        <f t="shared" si="965"/>
        <v>0</v>
      </c>
      <c r="D1158" s="84">
        <f t="shared" si="858"/>
        <v>0</v>
      </c>
      <c r="E1158" s="45">
        <f t="shared" si="859"/>
        <v>0</v>
      </c>
      <c r="F1158" s="45">
        <f t="shared" si="966"/>
        <v>0</v>
      </c>
      <c r="G1158" s="79">
        <f t="shared" si="967"/>
        <v>0</v>
      </c>
      <c r="H1158" s="199">
        <v>0</v>
      </c>
      <c r="I1158" s="199">
        <f>1398+297</f>
        <v>1695</v>
      </c>
      <c r="J1158" s="200">
        <f t="shared" si="927"/>
        <v>1695</v>
      </c>
      <c r="K1158" s="201">
        <f t="shared" si="928"/>
        <v>1695</v>
      </c>
      <c r="L1158" s="254">
        <v>141</v>
      </c>
      <c r="M1158" s="249">
        <v>0.60416666666666663</v>
      </c>
      <c r="N1158" s="153">
        <v>198417</v>
      </c>
      <c r="O1158" s="153">
        <v>12401</v>
      </c>
      <c r="P1158" s="153">
        <v>9778</v>
      </c>
      <c r="Q1158" s="153"/>
      <c r="R1158" s="153">
        <v>40606</v>
      </c>
      <c r="S1158" s="154">
        <v>9437.7000000000007</v>
      </c>
      <c r="T1158" s="154"/>
      <c r="U1158" s="154"/>
      <c r="V1158" s="153">
        <v>273604</v>
      </c>
      <c r="W1158" s="153">
        <v>122649</v>
      </c>
      <c r="X1158" s="153">
        <v>102275</v>
      </c>
      <c r="Y1158" s="153">
        <v>92778</v>
      </c>
      <c r="Z1158" s="153">
        <v>192922</v>
      </c>
    </row>
    <row r="1159" spans="1:26" ht="18" hidden="1" customHeight="1" x14ac:dyDescent="0.2">
      <c r="A1159" s="47">
        <f t="shared" si="905"/>
        <v>44010</v>
      </c>
      <c r="B1159" s="47" t="str">
        <f t="shared" si="860"/>
        <v>日</v>
      </c>
      <c r="C1159" s="48">
        <f t="shared" si="965"/>
        <v>3500</v>
      </c>
      <c r="D1159" s="84">
        <f t="shared" si="858"/>
        <v>152</v>
      </c>
      <c r="E1159" s="45">
        <f t="shared" si="859"/>
        <v>4689.9999999999127</v>
      </c>
      <c r="F1159" s="45">
        <f t="shared" si="966"/>
        <v>667</v>
      </c>
      <c r="G1159" s="79">
        <f t="shared" si="967"/>
        <v>9008.9999999999127</v>
      </c>
      <c r="H1159" s="199">
        <v>0</v>
      </c>
      <c r="I1159" s="199">
        <v>2108</v>
      </c>
      <c r="J1159" s="200">
        <f t="shared" si="927"/>
        <v>2108</v>
      </c>
      <c r="K1159" s="201">
        <f t="shared" si="928"/>
        <v>-6900.9999999999127</v>
      </c>
      <c r="L1159" s="254">
        <v>145</v>
      </c>
      <c r="M1159" s="249" t="s">
        <v>165</v>
      </c>
      <c r="N1159" s="153">
        <v>198417</v>
      </c>
      <c r="O1159" s="153">
        <v>12401</v>
      </c>
      <c r="P1159" s="153">
        <v>9778</v>
      </c>
      <c r="Q1159" s="153"/>
      <c r="R1159" s="153">
        <v>40606</v>
      </c>
      <c r="S1159" s="154">
        <v>9437.7000000000007</v>
      </c>
      <c r="T1159" s="154"/>
      <c r="U1159" s="154"/>
      <c r="V1159" s="153">
        <v>273604</v>
      </c>
      <c r="W1159" s="153">
        <v>122649</v>
      </c>
      <c r="X1159" s="153">
        <v>102275</v>
      </c>
      <c r="Y1159" s="153">
        <v>92778</v>
      </c>
      <c r="Z1159" s="153">
        <v>192922</v>
      </c>
    </row>
    <row r="1160" spans="1:26" ht="18" hidden="1" customHeight="1" x14ac:dyDescent="0.2">
      <c r="A1160" s="47">
        <f t="shared" si="905"/>
        <v>44011</v>
      </c>
      <c r="B1160" s="47" t="str">
        <f t="shared" si="860"/>
        <v>一</v>
      </c>
      <c r="C1160" s="48">
        <f t="shared" ref="C1160" si="968">(V1161-V1160)*1+(W1161-W1160)*32+(X1161-X1160)*12+(Y1161-Y1160)*6</f>
        <v>1958</v>
      </c>
      <c r="D1160" s="84">
        <f t="shared" si="858"/>
        <v>104</v>
      </c>
      <c r="E1160" s="45">
        <f t="shared" si="859"/>
        <v>1038.9999999999563</v>
      </c>
      <c r="F1160" s="45">
        <f t="shared" ref="F1160" si="969">(Z1161-Z1160)*1</f>
        <v>98</v>
      </c>
      <c r="G1160" s="79">
        <f t="shared" ref="G1160" si="970">C1160+D1160+F1160+E1160</f>
        <v>3198.9999999999563</v>
      </c>
      <c r="H1160" s="199">
        <v>2971</v>
      </c>
      <c r="I1160" s="199">
        <v>367</v>
      </c>
      <c r="J1160" s="200">
        <f t="shared" si="927"/>
        <v>3338</v>
      </c>
      <c r="K1160" s="201">
        <f t="shared" si="928"/>
        <v>139.00000000004366</v>
      </c>
      <c r="L1160" s="254">
        <v>327</v>
      </c>
      <c r="M1160" s="249">
        <v>0.5</v>
      </c>
      <c r="N1160" s="235">
        <v>198417</v>
      </c>
      <c r="O1160" s="235">
        <v>12407</v>
      </c>
      <c r="P1160" s="235">
        <v>9797</v>
      </c>
      <c r="Q1160" s="235"/>
      <c r="R1160" s="235">
        <v>40760</v>
      </c>
      <c r="S1160" s="236">
        <v>9475.5</v>
      </c>
      <c r="T1160" s="236"/>
      <c r="U1160" s="236"/>
      <c r="V1160" s="235">
        <v>274424</v>
      </c>
      <c r="W1160" s="235">
        <v>122717</v>
      </c>
      <c r="X1160" s="235">
        <v>102317</v>
      </c>
      <c r="Y1160" s="235">
        <v>92778</v>
      </c>
      <c r="Z1160" s="235">
        <v>193589</v>
      </c>
    </row>
    <row r="1161" spans="1:26" ht="18" hidden="1" customHeight="1" x14ac:dyDescent="0.2">
      <c r="A1161" s="47">
        <f t="shared" si="905"/>
        <v>44012</v>
      </c>
      <c r="B1161" s="47" t="str">
        <f t="shared" si="860"/>
        <v>二</v>
      </c>
      <c r="C1161" s="48">
        <f t="shared" ref="C1161" si="971">(V1162-V1161)*1+(W1162-W1161)*32+(X1162-X1161)*12+(Y1162-Y1161)*6</f>
        <v>2744</v>
      </c>
      <c r="D1161" s="84">
        <f t="shared" si="858"/>
        <v>32</v>
      </c>
      <c r="E1161" s="45">
        <f t="shared" si="859"/>
        <v>844.00000000013097</v>
      </c>
      <c r="F1161" s="45">
        <f t="shared" ref="F1161" si="972">(Z1162-Z1161)*1</f>
        <v>107</v>
      </c>
      <c r="G1161" s="79">
        <f t="shared" ref="G1161" si="973">C1161+D1161+F1161+E1161</f>
        <v>3727.000000000131</v>
      </c>
      <c r="H1161" s="199">
        <v>2844</v>
      </c>
      <c r="I1161" s="199">
        <v>389</v>
      </c>
      <c r="J1161" s="200">
        <f t="shared" si="927"/>
        <v>3233</v>
      </c>
      <c r="K1161" s="201">
        <f t="shared" si="928"/>
        <v>-494.00000000013097</v>
      </c>
      <c r="L1161" s="254">
        <v>325</v>
      </c>
      <c r="M1161" s="249" t="s">
        <v>166</v>
      </c>
      <c r="N1161" s="235">
        <v>198427</v>
      </c>
      <c r="O1161" s="235">
        <v>12409</v>
      </c>
      <c r="P1161" s="235">
        <v>9800</v>
      </c>
      <c r="Q1161" s="235"/>
      <c r="R1161" s="235">
        <v>40791</v>
      </c>
      <c r="S1161" s="236">
        <v>9483.9</v>
      </c>
      <c r="T1161" s="236"/>
      <c r="U1161" s="236"/>
      <c r="V1161" s="235">
        <v>274654</v>
      </c>
      <c r="W1161" s="235">
        <v>122756</v>
      </c>
      <c r="X1161" s="235">
        <v>102357</v>
      </c>
      <c r="Y1161" s="235">
        <v>92778</v>
      </c>
      <c r="Z1161" s="235">
        <v>193687</v>
      </c>
    </row>
    <row r="1162" spans="1:26" ht="18" hidden="1" customHeight="1" x14ac:dyDescent="0.2">
      <c r="A1162" s="47">
        <f t="shared" si="905"/>
        <v>44013</v>
      </c>
      <c r="B1162" s="47" t="str">
        <f t="shared" si="860"/>
        <v>三</v>
      </c>
      <c r="C1162" s="48">
        <f t="shared" ref="C1162" si="974">(V1163-V1162)*1+(W1163-W1162)*32+(X1163-X1162)*12+(Y1163-Y1162)*6</f>
        <v>1669</v>
      </c>
      <c r="D1162" s="84">
        <f t="shared" si="858"/>
        <v>88</v>
      </c>
      <c r="E1162" s="45">
        <f t="shared" si="859"/>
        <v>92.999999999869033</v>
      </c>
      <c r="F1162" s="45">
        <f t="shared" ref="F1162" si="975">(Z1163-Z1162)*1</f>
        <v>85</v>
      </c>
      <c r="G1162" s="79">
        <f t="shared" ref="G1162" si="976">C1162+D1162+F1162+E1162</f>
        <v>1934.999999999869</v>
      </c>
      <c r="H1162" s="199">
        <v>3132</v>
      </c>
      <c r="I1162" s="199">
        <v>363</v>
      </c>
      <c r="J1162" s="200">
        <f t="shared" si="927"/>
        <v>3495</v>
      </c>
      <c r="K1162" s="201">
        <f t="shared" si="928"/>
        <v>1560.000000000131</v>
      </c>
      <c r="L1162" s="254">
        <v>311</v>
      </c>
      <c r="M1162" s="249">
        <v>0.42708333333333331</v>
      </c>
      <c r="N1162" s="235">
        <v>198427</v>
      </c>
      <c r="O1162" s="235">
        <v>12412</v>
      </c>
      <c r="P1162" s="235">
        <v>9804</v>
      </c>
      <c r="Q1162" s="235"/>
      <c r="R1162" s="235">
        <v>40819</v>
      </c>
      <c r="S1162" s="236">
        <v>9490.7000000000007</v>
      </c>
      <c r="T1162" s="236"/>
      <c r="U1162" s="236"/>
      <c r="V1162" s="235">
        <v>274870</v>
      </c>
      <c r="W1162" s="235">
        <v>122793</v>
      </c>
      <c r="X1162" s="235">
        <v>102469</v>
      </c>
      <c r="Y1162" s="235">
        <v>92778</v>
      </c>
      <c r="Z1162" s="235">
        <v>193794</v>
      </c>
    </row>
    <row r="1163" spans="1:26" ht="18" hidden="1" customHeight="1" x14ac:dyDescent="0.2">
      <c r="A1163" s="47">
        <f t="shared" si="905"/>
        <v>44014</v>
      </c>
      <c r="B1163" s="47" t="str">
        <f t="shared" si="860"/>
        <v>四</v>
      </c>
      <c r="C1163" s="48">
        <f t="shared" ref="C1163" si="977">(V1164-V1163)*1+(W1164-W1163)*32+(X1164-X1163)*12+(Y1164-Y1163)*6</f>
        <v>2250</v>
      </c>
      <c r="D1163" s="84">
        <f t="shared" si="858"/>
        <v>80</v>
      </c>
      <c r="E1163" s="45">
        <f t="shared" si="859"/>
        <v>1403.000000000131</v>
      </c>
      <c r="F1163" s="45">
        <f t="shared" ref="F1163" si="978">(Z1164-Z1163)*1</f>
        <v>112</v>
      </c>
      <c r="G1163" s="79">
        <f t="shared" ref="G1163" si="979">C1163+D1163+F1163+E1163</f>
        <v>3845.000000000131</v>
      </c>
      <c r="H1163" s="199">
        <v>2806</v>
      </c>
      <c r="I1163" s="199">
        <v>372</v>
      </c>
      <c r="J1163" s="200">
        <f t="shared" si="927"/>
        <v>3178</v>
      </c>
      <c r="K1163" s="201">
        <f t="shared" si="928"/>
        <v>-667.00000000013097</v>
      </c>
      <c r="L1163" s="254">
        <v>309</v>
      </c>
      <c r="M1163" s="249" t="s">
        <v>167</v>
      </c>
      <c r="N1163" s="235">
        <v>198427</v>
      </c>
      <c r="O1163" s="235">
        <v>12415</v>
      </c>
      <c r="P1163" s="235">
        <v>9815</v>
      </c>
      <c r="Q1163" s="235"/>
      <c r="R1163" s="235">
        <v>40048</v>
      </c>
      <c r="S1163" s="236">
        <v>9497.9</v>
      </c>
      <c r="T1163" s="236"/>
      <c r="U1163" s="236"/>
      <c r="V1163" s="235">
        <v>275091</v>
      </c>
      <c r="W1163" s="235">
        <v>122836</v>
      </c>
      <c r="X1163" s="235">
        <v>102475</v>
      </c>
      <c r="Y1163" s="235">
        <v>92778</v>
      </c>
      <c r="Z1163" s="235">
        <v>193879</v>
      </c>
    </row>
    <row r="1164" spans="1:26" ht="18" hidden="1" customHeight="1" x14ac:dyDescent="0.2">
      <c r="A1164" s="47">
        <f t="shared" si="905"/>
        <v>44015</v>
      </c>
      <c r="B1164" s="47" t="str">
        <f t="shared" si="860"/>
        <v>五</v>
      </c>
      <c r="C1164" s="48">
        <f t="shared" ref="C1164:C1166" si="980">(V1165-V1164)*1+(W1165-W1164)*32+(X1165-X1164)*12+(Y1165-Y1164)*6</f>
        <v>0</v>
      </c>
      <c r="D1164" s="84">
        <f t="shared" si="858"/>
        <v>0</v>
      </c>
      <c r="E1164" s="45">
        <f t="shared" si="859"/>
        <v>0</v>
      </c>
      <c r="F1164" s="45">
        <f t="shared" ref="F1164:F1166" si="981">(Z1165-Z1164)*1</f>
        <v>0</v>
      </c>
      <c r="G1164" s="79">
        <f t="shared" ref="G1164:G1166" si="982">C1164+D1164+F1164+E1164</f>
        <v>0</v>
      </c>
      <c r="H1164" s="199">
        <v>2637</v>
      </c>
      <c r="I1164" s="199">
        <v>351</v>
      </c>
      <c r="J1164" s="200">
        <f t="shared" si="927"/>
        <v>2988</v>
      </c>
      <c r="K1164" s="201">
        <f t="shared" si="928"/>
        <v>2988</v>
      </c>
      <c r="L1164" s="254">
        <v>320</v>
      </c>
      <c r="M1164" s="249">
        <v>0.45833333333333331</v>
      </c>
      <c r="N1164" s="235">
        <v>198437</v>
      </c>
      <c r="O1164" s="235">
        <v>12412</v>
      </c>
      <c r="P1164" s="235">
        <v>9815</v>
      </c>
      <c r="Q1164" s="235"/>
      <c r="R1164" s="235">
        <v>40875</v>
      </c>
      <c r="S1164" s="236">
        <v>9502.7000000000007</v>
      </c>
      <c r="T1164" s="236"/>
      <c r="U1164" s="236"/>
      <c r="V1164" s="235">
        <v>275313</v>
      </c>
      <c r="W1164" s="235">
        <v>122878</v>
      </c>
      <c r="X1164" s="235">
        <v>102532</v>
      </c>
      <c r="Y1164" s="235">
        <v>92778</v>
      </c>
      <c r="Z1164" s="235">
        <v>193991</v>
      </c>
    </row>
    <row r="1165" spans="1:26" ht="18" hidden="1" customHeight="1" x14ac:dyDescent="0.2">
      <c r="A1165" s="47">
        <f t="shared" si="905"/>
        <v>44016</v>
      </c>
      <c r="B1165" s="47" t="str">
        <f t="shared" si="860"/>
        <v>六</v>
      </c>
      <c r="C1165" s="48">
        <f t="shared" si="980"/>
        <v>0</v>
      </c>
      <c r="D1165" s="84">
        <f t="shared" si="858"/>
        <v>0</v>
      </c>
      <c r="E1165" s="45">
        <f t="shared" si="859"/>
        <v>0</v>
      </c>
      <c r="F1165" s="45">
        <f t="shared" si="981"/>
        <v>0</v>
      </c>
      <c r="G1165" s="79">
        <f t="shared" si="982"/>
        <v>0</v>
      </c>
      <c r="H1165" s="199">
        <v>0</v>
      </c>
      <c r="I1165" s="199">
        <f>1092+318</f>
        <v>1410</v>
      </c>
      <c r="J1165" s="200">
        <f t="shared" ref="J1165:J1192" si="983">H1165+I1165</f>
        <v>1410</v>
      </c>
      <c r="K1165" s="201">
        <f t="shared" ref="K1165:K1192" si="984">J1165-G1165</f>
        <v>1410</v>
      </c>
      <c r="L1165" s="254">
        <v>134</v>
      </c>
      <c r="M1165" s="249" t="s">
        <v>168</v>
      </c>
      <c r="N1165" s="153">
        <v>198437</v>
      </c>
      <c r="O1165" s="153">
        <v>12412</v>
      </c>
      <c r="P1165" s="153">
        <v>9815</v>
      </c>
      <c r="Q1165" s="153"/>
      <c r="R1165" s="153">
        <v>40875</v>
      </c>
      <c r="S1165" s="154">
        <v>9502.7000000000007</v>
      </c>
      <c r="T1165" s="154"/>
      <c r="U1165" s="154"/>
      <c r="V1165" s="153">
        <v>275313</v>
      </c>
      <c r="W1165" s="153">
        <v>122878</v>
      </c>
      <c r="X1165" s="153">
        <v>102532</v>
      </c>
      <c r="Y1165" s="153">
        <v>92778</v>
      </c>
      <c r="Z1165" s="153">
        <v>193991</v>
      </c>
    </row>
    <row r="1166" spans="1:26" ht="18" hidden="1" customHeight="1" x14ac:dyDescent="0.2">
      <c r="A1166" s="47">
        <f t="shared" si="905"/>
        <v>44017</v>
      </c>
      <c r="B1166" s="47" t="str">
        <f t="shared" si="860"/>
        <v>日</v>
      </c>
      <c r="C1166" s="48">
        <f t="shared" si="980"/>
        <v>3059</v>
      </c>
      <c r="D1166" s="84">
        <f t="shared" si="858"/>
        <v>64</v>
      </c>
      <c r="E1166" s="45">
        <f t="shared" si="859"/>
        <v>2424</v>
      </c>
      <c r="F1166" s="45">
        <f t="shared" si="981"/>
        <v>334</v>
      </c>
      <c r="G1166" s="79">
        <f t="shared" si="982"/>
        <v>5881</v>
      </c>
      <c r="H1166" s="199">
        <v>0</v>
      </c>
      <c r="I1166" s="199">
        <v>1720</v>
      </c>
      <c r="J1166" s="200">
        <f t="shared" si="983"/>
        <v>1720</v>
      </c>
      <c r="K1166" s="201">
        <f t="shared" si="984"/>
        <v>-4161</v>
      </c>
      <c r="L1166" s="254">
        <v>147</v>
      </c>
      <c r="M1166" s="249">
        <v>0.58333333333333337</v>
      </c>
      <c r="N1166" s="153">
        <v>198437</v>
      </c>
      <c r="O1166" s="153">
        <v>12412</v>
      </c>
      <c r="P1166" s="153">
        <v>9815</v>
      </c>
      <c r="Q1166" s="153"/>
      <c r="R1166" s="153">
        <v>40875</v>
      </c>
      <c r="S1166" s="154">
        <v>9502.7000000000007</v>
      </c>
      <c r="T1166" s="154"/>
      <c r="U1166" s="154"/>
      <c r="V1166" s="153">
        <v>275313</v>
      </c>
      <c r="W1166" s="153">
        <v>122878</v>
      </c>
      <c r="X1166" s="153">
        <v>102532</v>
      </c>
      <c r="Y1166" s="153">
        <v>92778</v>
      </c>
      <c r="Z1166" s="153">
        <v>193991</v>
      </c>
    </row>
    <row r="1167" spans="1:26" ht="18" hidden="1" customHeight="1" x14ac:dyDescent="0.2">
      <c r="A1167" s="47">
        <f t="shared" si="905"/>
        <v>44018</v>
      </c>
      <c r="B1167" s="47" t="str">
        <f t="shared" si="860"/>
        <v>一</v>
      </c>
      <c r="C1167" s="48">
        <f t="shared" ref="C1167" si="985">(V1168-V1167)*1+(W1168-W1167)*32+(X1168-X1167)*12+(Y1168-Y1167)*6</f>
        <v>2385</v>
      </c>
      <c r="D1167" s="84">
        <f t="shared" si="858"/>
        <v>32</v>
      </c>
      <c r="E1167" s="45">
        <f t="shared" si="859"/>
        <v>1160.9999999999563</v>
      </c>
      <c r="F1167" s="45">
        <f t="shared" ref="F1167" si="986">(Z1168-Z1167)*1</f>
        <v>100</v>
      </c>
      <c r="G1167" s="79">
        <f t="shared" ref="G1167" si="987">C1167+D1167+F1167+E1167</f>
        <v>3677.9999999999563</v>
      </c>
      <c r="H1167" s="199">
        <v>3561</v>
      </c>
      <c r="I1167" s="199">
        <v>380</v>
      </c>
      <c r="J1167" s="200">
        <f t="shared" si="983"/>
        <v>3941</v>
      </c>
      <c r="K1167" s="201">
        <f t="shared" si="984"/>
        <v>263.00000000004366</v>
      </c>
      <c r="L1167" s="254">
        <v>317</v>
      </c>
      <c r="M1167" s="249" t="s">
        <v>169</v>
      </c>
      <c r="N1167" s="235">
        <v>198437</v>
      </c>
      <c r="O1167" s="235">
        <v>12412</v>
      </c>
      <c r="P1167" s="235">
        <v>9823</v>
      </c>
      <c r="Q1167" s="235"/>
      <c r="R1167" s="235">
        <v>40959</v>
      </c>
      <c r="S1167" s="236">
        <v>9522.2000000000007</v>
      </c>
      <c r="T1167" s="236"/>
      <c r="U1167" s="236"/>
      <c r="V1167" s="235">
        <v>275900</v>
      </c>
      <c r="W1167" s="235">
        <v>122938</v>
      </c>
      <c r="X1167" s="235">
        <v>102578</v>
      </c>
      <c r="Y1167" s="235">
        <v>92778</v>
      </c>
      <c r="Z1167" s="235">
        <v>194325</v>
      </c>
    </row>
    <row r="1168" spans="1:26" ht="18" hidden="1" customHeight="1" x14ac:dyDescent="0.2">
      <c r="A1168" s="47">
        <f t="shared" si="905"/>
        <v>44019</v>
      </c>
      <c r="B1168" s="47" t="str">
        <f t="shared" si="860"/>
        <v>二</v>
      </c>
      <c r="C1168" s="48">
        <f t="shared" ref="C1168" si="988">(V1169-V1168)*1+(W1169-W1168)*32+(X1169-X1168)*12+(Y1169-Y1168)*6</f>
        <v>1976</v>
      </c>
      <c r="D1168" s="84">
        <f t="shared" si="858"/>
        <v>24</v>
      </c>
      <c r="E1168" s="45">
        <f t="shared" si="859"/>
        <v>771.99999999986903</v>
      </c>
      <c r="F1168" s="45">
        <f t="shared" ref="F1168" si="989">(Z1169-Z1168)*1</f>
        <v>129</v>
      </c>
      <c r="G1168" s="79">
        <f t="shared" ref="G1168" si="990">C1168+D1168+F1168+E1168</f>
        <v>2900.999999999869</v>
      </c>
      <c r="H1168" s="199">
        <v>2644</v>
      </c>
      <c r="I1168" s="199">
        <v>371</v>
      </c>
      <c r="J1168" s="200">
        <f t="shared" si="983"/>
        <v>3015</v>
      </c>
      <c r="K1168" s="201">
        <f t="shared" si="984"/>
        <v>114.00000000013097</v>
      </c>
      <c r="L1168" s="254">
        <v>317</v>
      </c>
      <c r="M1168" s="249">
        <v>0.4375</v>
      </c>
      <c r="N1168" s="235">
        <v>198437</v>
      </c>
      <c r="O1168" s="235">
        <v>12412</v>
      </c>
      <c r="P1168" s="235">
        <v>9827</v>
      </c>
      <c r="Q1168" s="235"/>
      <c r="R1168" s="235">
        <v>40992</v>
      </c>
      <c r="S1168" s="236">
        <v>9531.6</v>
      </c>
      <c r="T1168" s="236"/>
      <c r="U1168" s="236"/>
      <c r="V1168" s="235">
        <v>276141</v>
      </c>
      <c r="W1168" s="235">
        <v>122981</v>
      </c>
      <c r="X1168" s="235">
        <v>102642</v>
      </c>
      <c r="Y1168" s="235">
        <v>92778</v>
      </c>
      <c r="Z1168" s="235">
        <v>194425</v>
      </c>
    </row>
    <row r="1169" spans="1:26" ht="18" hidden="1" customHeight="1" x14ac:dyDescent="0.2">
      <c r="A1169" s="47">
        <f t="shared" si="905"/>
        <v>44020</v>
      </c>
      <c r="B1169" s="47" t="str">
        <f t="shared" si="860"/>
        <v>三</v>
      </c>
      <c r="C1169" s="48">
        <f t="shared" ref="C1169" si="991">(V1170-V1169)*1+(W1170-W1169)*32+(X1170-X1169)*12+(Y1170-Y1169)*6</f>
        <v>1842</v>
      </c>
      <c r="D1169" s="84">
        <f t="shared" si="858"/>
        <v>24</v>
      </c>
      <c r="E1169" s="45">
        <f t="shared" si="859"/>
        <v>806</v>
      </c>
      <c r="F1169" s="45">
        <f t="shared" ref="F1169" si="992">(Z1170-Z1169)*1</f>
        <v>82</v>
      </c>
      <c r="G1169" s="79">
        <f t="shared" ref="G1169" si="993">C1169+D1169+F1169+E1169</f>
        <v>2754</v>
      </c>
      <c r="H1169" s="199">
        <v>2555</v>
      </c>
      <c r="I1169" s="199">
        <v>396</v>
      </c>
      <c r="J1169" s="200">
        <f t="shared" si="983"/>
        <v>2951</v>
      </c>
      <c r="K1169" s="201">
        <f t="shared" si="984"/>
        <v>197</v>
      </c>
      <c r="L1169" s="254">
        <v>311</v>
      </c>
      <c r="M1169" s="249">
        <v>0.42708333333333331</v>
      </c>
      <c r="N1169" s="235">
        <v>198437</v>
      </c>
      <c r="O1169" s="235">
        <v>12412</v>
      </c>
      <c r="P1169" s="235">
        <v>9830</v>
      </c>
      <c r="Q1169" s="235"/>
      <c r="R1169" s="235">
        <v>41020</v>
      </c>
      <c r="S1169" s="236">
        <v>9537.7999999999993</v>
      </c>
      <c r="T1169" s="236"/>
      <c r="U1169" s="236"/>
      <c r="V1169" s="235">
        <v>276377</v>
      </c>
      <c r="W1169" s="235">
        <v>123017</v>
      </c>
      <c r="X1169" s="235">
        <v>102691</v>
      </c>
      <c r="Y1169" s="235">
        <v>92778</v>
      </c>
      <c r="Z1169" s="235">
        <v>194554</v>
      </c>
    </row>
    <row r="1170" spans="1:26" ht="18" hidden="1" customHeight="1" x14ac:dyDescent="0.2">
      <c r="A1170" s="47">
        <f t="shared" si="905"/>
        <v>44021</v>
      </c>
      <c r="B1170" s="47" t="str">
        <f t="shared" si="860"/>
        <v>四</v>
      </c>
      <c r="C1170" s="48">
        <f t="shared" ref="C1170:C1173" si="994">(V1171-V1170)*1+(W1171-W1170)*32+(X1171-X1170)*12+(Y1171-Y1170)*6</f>
        <v>0</v>
      </c>
      <c r="D1170" s="84">
        <f t="shared" si="858"/>
        <v>0</v>
      </c>
      <c r="E1170" s="45">
        <f t="shared" si="859"/>
        <v>0</v>
      </c>
      <c r="F1170" s="45">
        <f t="shared" ref="F1170:F1173" si="995">(Z1171-Z1170)*1</f>
        <v>0</v>
      </c>
      <c r="G1170" s="79">
        <f t="shared" ref="G1170:G1173" si="996">C1170+D1170+F1170+E1170</f>
        <v>0</v>
      </c>
      <c r="H1170" s="199">
        <v>2660</v>
      </c>
      <c r="I1170" s="199">
        <v>342</v>
      </c>
      <c r="J1170" s="200">
        <f t="shared" si="983"/>
        <v>3002</v>
      </c>
      <c r="K1170" s="201">
        <f t="shared" si="984"/>
        <v>3002</v>
      </c>
      <c r="L1170" s="254">
        <v>354</v>
      </c>
      <c r="M1170" s="249">
        <v>0.375</v>
      </c>
      <c r="N1170" s="235">
        <v>198437</v>
      </c>
      <c r="O1170" s="235">
        <v>12412</v>
      </c>
      <c r="P1170" s="235">
        <v>9833</v>
      </c>
      <c r="Q1170" s="235"/>
      <c r="R1170" s="235">
        <v>41046</v>
      </c>
      <c r="S1170" s="236">
        <v>9544.2999999999993</v>
      </c>
      <c r="T1170" s="236"/>
      <c r="U1170" s="236"/>
      <c r="V1170" s="235">
        <v>276603</v>
      </c>
      <c r="W1170" s="235">
        <v>123054</v>
      </c>
      <c r="X1170" s="235">
        <v>102727</v>
      </c>
      <c r="Y1170" s="235">
        <v>92778</v>
      </c>
      <c r="Z1170" s="235">
        <v>194636</v>
      </c>
    </row>
    <row r="1171" spans="1:26" ht="18" hidden="1" customHeight="1" x14ac:dyDescent="0.2">
      <c r="A1171" s="47">
        <f t="shared" si="905"/>
        <v>44022</v>
      </c>
      <c r="B1171" s="47" t="str">
        <f t="shared" si="860"/>
        <v>五</v>
      </c>
      <c r="C1171" s="48">
        <f t="shared" si="994"/>
        <v>0</v>
      </c>
      <c r="D1171" s="84">
        <f t="shared" si="858"/>
        <v>0</v>
      </c>
      <c r="E1171" s="45">
        <f t="shared" si="859"/>
        <v>0</v>
      </c>
      <c r="F1171" s="45">
        <f t="shared" si="995"/>
        <v>0</v>
      </c>
      <c r="G1171" s="79">
        <f t="shared" si="996"/>
        <v>0</v>
      </c>
      <c r="H1171" s="199">
        <v>2436</v>
      </c>
      <c r="I1171" s="199">
        <v>361</v>
      </c>
      <c r="J1171" s="200">
        <f t="shared" si="983"/>
        <v>2797</v>
      </c>
      <c r="K1171" s="201">
        <f t="shared" si="984"/>
        <v>2797</v>
      </c>
      <c r="L1171" s="254">
        <v>293</v>
      </c>
      <c r="M1171" s="249">
        <v>0.38541666666666669</v>
      </c>
      <c r="N1171" s="153">
        <v>198437</v>
      </c>
      <c r="O1171" s="153">
        <v>12412</v>
      </c>
      <c r="P1171" s="153">
        <v>9833</v>
      </c>
      <c r="Q1171" s="153"/>
      <c r="R1171" s="153">
        <v>41046</v>
      </c>
      <c r="S1171" s="154">
        <v>9544.2999999999993</v>
      </c>
      <c r="T1171" s="154"/>
      <c r="U1171" s="154"/>
      <c r="V1171" s="153">
        <v>276603</v>
      </c>
      <c r="W1171" s="153">
        <v>123054</v>
      </c>
      <c r="X1171" s="153">
        <v>102727</v>
      </c>
      <c r="Y1171" s="153">
        <v>92778</v>
      </c>
      <c r="Z1171" s="153">
        <v>194636</v>
      </c>
    </row>
    <row r="1172" spans="1:26" ht="18" hidden="1" customHeight="1" x14ac:dyDescent="0.2">
      <c r="A1172" s="47">
        <f t="shared" si="905"/>
        <v>44023</v>
      </c>
      <c r="B1172" s="47" t="str">
        <f t="shared" si="860"/>
        <v>六</v>
      </c>
      <c r="C1172" s="48">
        <f t="shared" si="994"/>
        <v>0</v>
      </c>
      <c r="D1172" s="84">
        <f t="shared" si="858"/>
        <v>0</v>
      </c>
      <c r="E1172" s="45">
        <f t="shared" si="859"/>
        <v>0</v>
      </c>
      <c r="F1172" s="45">
        <f t="shared" si="995"/>
        <v>0</v>
      </c>
      <c r="G1172" s="79">
        <f t="shared" si="996"/>
        <v>0</v>
      </c>
      <c r="H1172" s="199">
        <v>0</v>
      </c>
      <c r="I1172" s="199">
        <f>1140+304</f>
        <v>1444</v>
      </c>
      <c r="J1172" s="200">
        <f t="shared" si="983"/>
        <v>1444</v>
      </c>
      <c r="K1172" s="201">
        <f t="shared" si="984"/>
        <v>1444</v>
      </c>
      <c r="L1172" s="254">
        <v>142</v>
      </c>
      <c r="M1172" s="249">
        <v>0.41666666666666669</v>
      </c>
      <c r="N1172" s="153">
        <v>198437</v>
      </c>
      <c r="O1172" s="153">
        <v>12412</v>
      </c>
      <c r="P1172" s="153">
        <v>9833</v>
      </c>
      <c r="Q1172" s="153"/>
      <c r="R1172" s="153">
        <v>41046</v>
      </c>
      <c r="S1172" s="154">
        <v>9544.2999999999993</v>
      </c>
      <c r="T1172" s="154"/>
      <c r="U1172" s="154"/>
      <c r="V1172" s="153">
        <v>276603</v>
      </c>
      <c r="W1172" s="153">
        <v>123054</v>
      </c>
      <c r="X1172" s="153">
        <v>102727</v>
      </c>
      <c r="Y1172" s="153">
        <v>92778</v>
      </c>
      <c r="Z1172" s="153">
        <v>194636</v>
      </c>
    </row>
    <row r="1173" spans="1:26" ht="18" hidden="1" customHeight="1" x14ac:dyDescent="0.2">
      <c r="A1173" s="47">
        <f t="shared" si="905"/>
        <v>44024</v>
      </c>
      <c r="B1173" s="47" t="str">
        <f t="shared" si="860"/>
        <v>日</v>
      </c>
      <c r="C1173" s="48">
        <f t="shared" si="994"/>
        <v>4393</v>
      </c>
      <c r="D1173" s="84">
        <f t="shared" ref="D1173:D1236" si="997">(N1174-N1173)*8+(P1174-P1173)*8</f>
        <v>280</v>
      </c>
      <c r="E1173" s="45">
        <f t="shared" ref="E1173:E1236" si="998">(R1174-R1173)*1+(S1174-S1173)*120</f>
        <v>3239.0000000000437</v>
      </c>
      <c r="F1173" s="45">
        <f t="shared" si="995"/>
        <v>462</v>
      </c>
      <c r="G1173" s="79">
        <f t="shared" si="996"/>
        <v>8374.0000000000437</v>
      </c>
      <c r="H1173" s="199">
        <v>0</v>
      </c>
      <c r="I1173" s="199">
        <v>1740</v>
      </c>
      <c r="J1173" s="200">
        <f t="shared" si="983"/>
        <v>1740</v>
      </c>
      <c r="K1173" s="201">
        <f t="shared" si="984"/>
        <v>-6634.0000000000437</v>
      </c>
      <c r="L1173" s="254">
        <v>143</v>
      </c>
      <c r="M1173" s="249">
        <v>0.57291666666666663</v>
      </c>
      <c r="N1173" s="153">
        <v>198437</v>
      </c>
      <c r="O1173" s="153">
        <v>12412</v>
      </c>
      <c r="P1173" s="153">
        <v>9833</v>
      </c>
      <c r="Q1173" s="153"/>
      <c r="R1173" s="153">
        <v>41046</v>
      </c>
      <c r="S1173" s="154">
        <v>9544.2999999999993</v>
      </c>
      <c r="T1173" s="154"/>
      <c r="U1173" s="154"/>
      <c r="V1173" s="153">
        <v>276603</v>
      </c>
      <c r="W1173" s="153">
        <v>123054</v>
      </c>
      <c r="X1173" s="153">
        <v>102727</v>
      </c>
      <c r="Y1173" s="153">
        <v>92778</v>
      </c>
      <c r="Z1173" s="153">
        <v>194636</v>
      </c>
    </row>
    <row r="1174" spans="1:26" ht="18" hidden="1" customHeight="1" x14ac:dyDescent="0.2">
      <c r="A1174" s="47">
        <f t="shared" si="905"/>
        <v>44025</v>
      </c>
      <c r="B1174" s="47" t="str">
        <f t="shared" ref="B1174:B1237" si="999">B1167</f>
        <v>一</v>
      </c>
      <c r="C1174" s="48">
        <f t="shared" ref="C1174" si="1000">(V1175-V1174)*1+(W1175-W1174)*32+(X1175-X1174)*12+(Y1175-Y1174)*6</f>
        <v>2072</v>
      </c>
      <c r="D1174" s="84">
        <f t="shared" si="997"/>
        <v>56</v>
      </c>
      <c r="E1174" s="45">
        <f t="shared" si="998"/>
        <v>1026.000000000131</v>
      </c>
      <c r="F1174" s="45">
        <f t="shared" ref="F1174" si="1001">(Z1175-Z1174)*1</f>
        <v>114</v>
      </c>
      <c r="G1174" s="79">
        <f t="shared" ref="G1174" si="1002">C1174+D1174+F1174+E1174</f>
        <v>3268.000000000131</v>
      </c>
      <c r="H1174" s="199">
        <v>2913</v>
      </c>
      <c r="I1174" s="199">
        <v>385</v>
      </c>
      <c r="J1174" s="200">
        <f t="shared" si="983"/>
        <v>3298</v>
      </c>
      <c r="K1174" s="201">
        <f t="shared" si="984"/>
        <v>29.999999999869033</v>
      </c>
      <c r="L1174" s="254">
        <v>325</v>
      </c>
      <c r="M1174" s="249">
        <v>0.41666666666666669</v>
      </c>
      <c r="N1174" s="235">
        <v>198457</v>
      </c>
      <c r="O1174" s="235">
        <v>12420</v>
      </c>
      <c r="P1174" s="235">
        <v>9848</v>
      </c>
      <c r="Q1174" s="235"/>
      <c r="R1174" s="235">
        <v>41153</v>
      </c>
      <c r="S1174" s="236">
        <v>9570.4</v>
      </c>
      <c r="T1174" s="236"/>
      <c r="U1174" s="236"/>
      <c r="V1174" s="235">
        <v>277224</v>
      </c>
      <c r="W1174" s="235">
        <v>123143</v>
      </c>
      <c r="X1174" s="235">
        <v>102804</v>
      </c>
      <c r="Y1174" s="235">
        <v>92778</v>
      </c>
      <c r="Z1174" s="235">
        <v>195098</v>
      </c>
    </row>
    <row r="1175" spans="1:26" ht="18" hidden="1" customHeight="1" x14ac:dyDescent="0.2">
      <c r="A1175" s="47">
        <f t="shared" si="905"/>
        <v>44026</v>
      </c>
      <c r="B1175" s="47" t="str">
        <f t="shared" si="999"/>
        <v>二</v>
      </c>
      <c r="C1175" s="48">
        <f t="shared" ref="C1175" si="1003">(V1176-V1175)*1+(W1176-W1175)*32+(X1176-X1175)*12+(Y1176-Y1175)*6</f>
        <v>1687</v>
      </c>
      <c r="D1175" s="84">
        <f t="shared" si="997"/>
        <v>88</v>
      </c>
      <c r="E1175" s="45">
        <f t="shared" si="998"/>
        <v>709.99999999986903</v>
      </c>
      <c r="F1175" s="45">
        <f t="shared" ref="F1175" si="1004">(Z1176-Z1175)*1</f>
        <v>78</v>
      </c>
      <c r="G1175" s="79">
        <f t="shared" ref="G1175" si="1005">C1175+D1175+F1175+E1175</f>
        <v>2562.999999999869</v>
      </c>
      <c r="H1175" s="199">
        <v>2484</v>
      </c>
      <c r="I1175" s="199">
        <v>384</v>
      </c>
      <c r="J1175" s="200">
        <f t="shared" si="983"/>
        <v>2868</v>
      </c>
      <c r="K1175" s="201">
        <f t="shared" si="984"/>
        <v>305.00000000013097</v>
      </c>
      <c r="L1175" s="254">
        <v>315</v>
      </c>
      <c r="M1175" s="249">
        <v>0.42708333333333331</v>
      </c>
      <c r="N1175" s="235">
        <v>198457</v>
      </c>
      <c r="O1175" s="235">
        <v>12421</v>
      </c>
      <c r="P1175" s="235">
        <v>9855</v>
      </c>
      <c r="Q1175" s="235"/>
      <c r="R1175" s="235">
        <v>41183</v>
      </c>
      <c r="S1175" s="236">
        <v>9578.7000000000007</v>
      </c>
      <c r="T1175" s="236"/>
      <c r="U1175" s="236"/>
      <c r="V1175" s="235">
        <v>277552</v>
      </c>
      <c r="W1175" s="235">
        <v>123181</v>
      </c>
      <c r="X1175" s="235">
        <v>102848</v>
      </c>
      <c r="Y1175" s="235">
        <v>92778</v>
      </c>
      <c r="Z1175" s="235">
        <v>195212</v>
      </c>
    </row>
    <row r="1176" spans="1:26" ht="18" hidden="1" customHeight="1" x14ac:dyDescent="0.2">
      <c r="A1176" s="47">
        <f t="shared" si="905"/>
        <v>44027</v>
      </c>
      <c r="B1176" s="47" t="str">
        <f t="shared" si="999"/>
        <v>三</v>
      </c>
      <c r="C1176" s="48">
        <f t="shared" ref="C1176" si="1006">(V1177-V1176)*1+(W1177-W1176)*32+(X1177-X1176)*12+(Y1177-Y1176)*6</f>
        <v>2082</v>
      </c>
      <c r="D1176" s="84">
        <f t="shared" si="997"/>
        <v>48</v>
      </c>
      <c r="E1176" s="45">
        <f t="shared" si="998"/>
        <v>879.00000000004366</v>
      </c>
      <c r="F1176" s="45">
        <f t="shared" ref="F1176" si="1007">(Z1177-Z1176)*1</f>
        <v>80</v>
      </c>
      <c r="G1176" s="79">
        <f t="shared" ref="G1176" si="1008">C1176+D1176+F1176+E1176</f>
        <v>3089.0000000000437</v>
      </c>
      <c r="H1176" s="199">
        <v>2505</v>
      </c>
      <c r="I1176" s="199">
        <v>374</v>
      </c>
      <c r="J1176" s="200">
        <f t="shared" si="983"/>
        <v>2879</v>
      </c>
      <c r="K1176" s="201">
        <f t="shared" si="984"/>
        <v>-210.00000000004366</v>
      </c>
      <c r="L1176" s="254">
        <v>283</v>
      </c>
      <c r="M1176" s="249" t="s">
        <v>170</v>
      </c>
      <c r="N1176" s="235">
        <v>198467</v>
      </c>
      <c r="O1176" s="235">
        <v>12424</v>
      </c>
      <c r="P1176" s="235">
        <v>9856</v>
      </c>
      <c r="Q1176" s="235"/>
      <c r="R1176" s="235">
        <v>41209</v>
      </c>
      <c r="S1176" s="236">
        <v>9584.4</v>
      </c>
      <c r="T1176" s="236"/>
      <c r="U1176" s="236"/>
      <c r="V1176" s="235">
        <v>277779</v>
      </c>
      <c r="W1176" s="235">
        <v>123212</v>
      </c>
      <c r="X1176" s="235">
        <v>102887</v>
      </c>
      <c r="Y1176" s="235">
        <v>92778</v>
      </c>
      <c r="Z1176" s="235">
        <v>195290</v>
      </c>
    </row>
    <row r="1177" spans="1:26" ht="18" hidden="1" customHeight="1" x14ac:dyDescent="0.2">
      <c r="A1177" s="47">
        <f t="shared" si="905"/>
        <v>44028</v>
      </c>
      <c r="B1177" s="47" t="str">
        <f t="shared" si="999"/>
        <v>四</v>
      </c>
      <c r="C1177" s="48">
        <f t="shared" ref="C1177" si="1009">(V1178-V1177)*1+(W1178-W1177)*32+(X1178-X1177)*12+(Y1178-Y1177)*6</f>
        <v>1722</v>
      </c>
      <c r="D1177" s="84">
        <f t="shared" si="997"/>
        <v>40</v>
      </c>
      <c r="E1177" s="45">
        <f t="shared" si="998"/>
        <v>695.00000000004366</v>
      </c>
      <c r="F1177" s="45">
        <f t="shared" ref="F1177" si="1010">(Z1178-Z1177)*1</f>
        <v>97</v>
      </c>
      <c r="G1177" s="79">
        <f t="shared" ref="G1177" si="1011">C1177+D1177+F1177+E1177</f>
        <v>2554.0000000000437</v>
      </c>
      <c r="H1177" s="199">
        <v>2398</v>
      </c>
      <c r="I1177" s="199">
        <v>502</v>
      </c>
      <c r="J1177" s="200">
        <f t="shared" si="983"/>
        <v>2900</v>
      </c>
      <c r="K1177" s="201">
        <f t="shared" si="984"/>
        <v>345.99999999995634</v>
      </c>
      <c r="L1177" s="254">
        <v>312</v>
      </c>
      <c r="M1177" s="249">
        <v>0.38541666666666669</v>
      </c>
      <c r="N1177" s="235">
        <v>198467</v>
      </c>
      <c r="O1177" s="235">
        <v>12424</v>
      </c>
      <c r="P1177" s="235">
        <v>9862</v>
      </c>
      <c r="Q1177" s="235"/>
      <c r="R1177" s="235">
        <v>41236</v>
      </c>
      <c r="S1177" s="236">
        <v>9591.5</v>
      </c>
      <c r="T1177" s="236"/>
      <c r="U1177" s="236"/>
      <c r="V1177" s="235">
        <v>277993</v>
      </c>
      <c r="W1177" s="235">
        <v>123252</v>
      </c>
      <c r="X1177" s="235">
        <v>102936</v>
      </c>
      <c r="Y1177" s="235">
        <v>92778</v>
      </c>
      <c r="Z1177" s="235">
        <v>195370</v>
      </c>
    </row>
    <row r="1178" spans="1:26" ht="18" hidden="1" customHeight="1" x14ac:dyDescent="0.2">
      <c r="A1178" s="47">
        <f t="shared" si="905"/>
        <v>44029</v>
      </c>
      <c r="B1178" s="47" t="str">
        <f t="shared" si="999"/>
        <v>五</v>
      </c>
      <c r="C1178" s="48">
        <f t="shared" ref="C1178:C1180" si="1012">(V1179-V1178)*1+(W1179-W1178)*32+(X1179-X1178)*12+(Y1179-Y1178)*6</f>
        <v>0</v>
      </c>
      <c r="D1178" s="84">
        <f t="shared" si="997"/>
        <v>0</v>
      </c>
      <c r="E1178" s="45">
        <f t="shared" si="998"/>
        <v>0</v>
      </c>
      <c r="F1178" s="45">
        <f t="shared" ref="F1178:F1180" si="1013">(Z1179-Z1178)*1</f>
        <v>0</v>
      </c>
      <c r="G1178" s="79">
        <f t="shared" ref="G1178:G1180" si="1014">C1178+D1178+F1178+E1178</f>
        <v>0</v>
      </c>
      <c r="H1178" s="199">
        <v>2225</v>
      </c>
      <c r="I1178" s="199">
        <v>363</v>
      </c>
      <c r="J1178" s="200">
        <f t="shared" si="983"/>
        <v>2588</v>
      </c>
      <c r="K1178" s="201">
        <f t="shared" si="984"/>
        <v>2588</v>
      </c>
      <c r="L1178" s="254">
        <v>293</v>
      </c>
      <c r="M1178" s="249">
        <v>0.39583333333333331</v>
      </c>
      <c r="N1178" s="235">
        <v>198467</v>
      </c>
      <c r="O1178" s="235">
        <v>12424</v>
      </c>
      <c r="P1178" s="235">
        <v>9867</v>
      </c>
      <c r="Q1178" s="235"/>
      <c r="R1178" s="235">
        <v>41259</v>
      </c>
      <c r="S1178" s="236">
        <v>9597.1</v>
      </c>
      <c r="T1178" s="236"/>
      <c r="U1178" s="236"/>
      <c r="V1178" s="235">
        <v>278195</v>
      </c>
      <c r="W1178" s="235">
        <v>123286</v>
      </c>
      <c r="X1178" s="235">
        <v>102972</v>
      </c>
      <c r="Y1178" s="235">
        <v>92778</v>
      </c>
      <c r="Z1178" s="235">
        <v>195467</v>
      </c>
    </row>
    <row r="1179" spans="1:26" ht="18" hidden="1" customHeight="1" x14ac:dyDescent="0.2">
      <c r="A1179" s="47">
        <f t="shared" si="905"/>
        <v>44030</v>
      </c>
      <c r="B1179" s="47" t="str">
        <f t="shared" si="999"/>
        <v>六</v>
      </c>
      <c r="C1179" s="48">
        <f t="shared" si="1012"/>
        <v>0</v>
      </c>
      <c r="D1179" s="84">
        <f t="shared" si="997"/>
        <v>0</v>
      </c>
      <c r="E1179" s="45">
        <f t="shared" si="998"/>
        <v>0</v>
      </c>
      <c r="F1179" s="45">
        <f t="shared" si="1013"/>
        <v>0</v>
      </c>
      <c r="G1179" s="79">
        <f t="shared" si="1014"/>
        <v>0</v>
      </c>
      <c r="H1179" s="199">
        <v>0</v>
      </c>
      <c r="I1179" s="199">
        <f>1261+304</f>
        <v>1565</v>
      </c>
      <c r="J1179" s="200">
        <f t="shared" si="983"/>
        <v>1565</v>
      </c>
      <c r="K1179" s="201">
        <f t="shared" si="984"/>
        <v>1565</v>
      </c>
      <c r="L1179" s="254">
        <v>139</v>
      </c>
      <c r="M1179" s="249">
        <v>0.44791666666666669</v>
      </c>
      <c r="N1179" s="160">
        <v>198467</v>
      </c>
      <c r="O1179" s="160">
        <v>12424</v>
      </c>
      <c r="P1179" s="160">
        <v>9867</v>
      </c>
      <c r="Q1179" s="160"/>
      <c r="R1179" s="160">
        <v>41259</v>
      </c>
      <c r="S1179" s="161">
        <v>9597.1</v>
      </c>
      <c r="T1179" s="161"/>
      <c r="U1179" s="161"/>
      <c r="V1179" s="160">
        <v>278195</v>
      </c>
      <c r="W1179" s="160">
        <v>123286</v>
      </c>
      <c r="X1179" s="160">
        <v>102972</v>
      </c>
      <c r="Y1179" s="160">
        <v>92778</v>
      </c>
      <c r="Z1179" s="160">
        <v>195467</v>
      </c>
    </row>
    <row r="1180" spans="1:26" ht="18" hidden="1" customHeight="1" x14ac:dyDescent="0.2">
      <c r="A1180" s="47">
        <f t="shared" si="905"/>
        <v>44031</v>
      </c>
      <c r="B1180" s="47" t="str">
        <f t="shared" si="999"/>
        <v>日</v>
      </c>
      <c r="C1180" s="48">
        <f t="shared" si="1012"/>
        <v>2392</v>
      </c>
      <c r="D1180" s="84">
        <f t="shared" si="997"/>
        <v>152</v>
      </c>
      <c r="E1180" s="45">
        <f t="shared" si="998"/>
        <v>2818.9999999999127</v>
      </c>
      <c r="F1180" s="45">
        <f t="shared" si="1013"/>
        <v>328</v>
      </c>
      <c r="G1180" s="79">
        <f t="shared" si="1014"/>
        <v>5690.9999999999127</v>
      </c>
      <c r="H1180" s="199">
        <v>0</v>
      </c>
      <c r="I1180" s="199">
        <v>1889</v>
      </c>
      <c r="J1180" s="200">
        <f t="shared" si="983"/>
        <v>1889</v>
      </c>
      <c r="K1180" s="201">
        <f t="shared" si="984"/>
        <v>-3801.9999999999127</v>
      </c>
      <c r="L1180" s="254">
        <v>149</v>
      </c>
      <c r="M1180" s="249">
        <v>0.67708333333333337</v>
      </c>
      <c r="N1180" s="160">
        <v>198467</v>
      </c>
      <c r="O1180" s="160">
        <v>12424</v>
      </c>
      <c r="P1180" s="160">
        <v>9867</v>
      </c>
      <c r="Q1180" s="160"/>
      <c r="R1180" s="160">
        <v>41259</v>
      </c>
      <c r="S1180" s="161">
        <v>9597.1</v>
      </c>
      <c r="T1180" s="161"/>
      <c r="U1180" s="161"/>
      <c r="V1180" s="160">
        <v>278195</v>
      </c>
      <c r="W1180" s="160">
        <v>123286</v>
      </c>
      <c r="X1180" s="160">
        <v>102972</v>
      </c>
      <c r="Y1180" s="160">
        <v>92778</v>
      </c>
      <c r="Z1180" s="160">
        <v>195467</v>
      </c>
    </row>
    <row r="1181" spans="1:26" ht="18" hidden="1" customHeight="1" x14ac:dyDescent="0.2">
      <c r="A1181" s="47">
        <f t="shared" si="905"/>
        <v>44032</v>
      </c>
      <c r="B1181" s="47" t="str">
        <f t="shared" si="999"/>
        <v>一</v>
      </c>
      <c r="C1181" s="48">
        <f t="shared" ref="C1181" si="1015">(V1182-V1181)*1+(W1182-W1181)*32+(X1182-X1181)*12+(Y1182-Y1181)*6</f>
        <v>2094</v>
      </c>
      <c r="D1181" s="84">
        <f t="shared" si="997"/>
        <v>32</v>
      </c>
      <c r="E1181" s="45">
        <f t="shared" si="998"/>
        <v>1073.0000000000873</v>
      </c>
      <c r="F1181" s="45">
        <f t="shared" ref="F1181" si="1016">(Z1182-Z1181)*1</f>
        <v>108</v>
      </c>
      <c r="G1181" s="79">
        <f t="shared" ref="G1181" si="1017">C1181+D1181+F1181+E1181</f>
        <v>3307.0000000000873</v>
      </c>
      <c r="H1181" s="199">
        <v>3099</v>
      </c>
      <c r="I1181" s="199">
        <v>371</v>
      </c>
      <c r="J1181" s="200">
        <f t="shared" si="983"/>
        <v>3470</v>
      </c>
      <c r="K1181" s="201">
        <f t="shared" si="984"/>
        <v>162.99999999991269</v>
      </c>
      <c r="L1181" s="254">
        <v>291</v>
      </c>
      <c r="M1181" s="249">
        <v>0.59375</v>
      </c>
      <c r="N1181" s="235">
        <v>198477</v>
      </c>
      <c r="O1181" s="235">
        <v>120429</v>
      </c>
      <c r="P1181" s="235">
        <v>9876</v>
      </c>
      <c r="Q1181" s="235"/>
      <c r="R1181" s="235">
        <v>41342</v>
      </c>
      <c r="S1181" s="236">
        <v>9619.9</v>
      </c>
      <c r="T1181" s="236"/>
      <c r="U1181" s="236"/>
      <c r="V1181" s="235">
        <v>278751</v>
      </c>
      <c r="W1181" s="235">
        <v>123337</v>
      </c>
      <c r="X1181" s="235">
        <v>102989</v>
      </c>
      <c r="Y1181" s="235">
        <v>92778</v>
      </c>
      <c r="Z1181" s="235">
        <v>195795</v>
      </c>
    </row>
    <row r="1182" spans="1:26" ht="18" hidden="1" customHeight="1" x14ac:dyDescent="0.2">
      <c r="A1182" s="47">
        <f t="shared" si="905"/>
        <v>44033</v>
      </c>
      <c r="B1182" s="47" t="str">
        <f t="shared" si="999"/>
        <v>二</v>
      </c>
      <c r="C1182" s="48">
        <f t="shared" ref="C1182" si="1018">(V1183-V1182)*1+(W1183-W1182)*32+(X1183-X1182)*12+(Y1183-Y1182)*6</f>
        <v>1731</v>
      </c>
      <c r="D1182" s="84">
        <f t="shared" si="997"/>
        <v>40</v>
      </c>
      <c r="E1182" s="45">
        <f t="shared" si="998"/>
        <v>817.00000000004366</v>
      </c>
      <c r="F1182" s="45">
        <f t="shared" ref="F1182" si="1019">(Z1183-Z1182)*1</f>
        <v>91</v>
      </c>
      <c r="G1182" s="79">
        <f t="shared" ref="G1182" si="1020">C1182+D1182+F1182+E1182</f>
        <v>2679.0000000000437</v>
      </c>
      <c r="H1182" s="199">
        <v>2452</v>
      </c>
      <c r="I1182" s="199">
        <v>368</v>
      </c>
      <c r="J1182" s="200">
        <f t="shared" si="983"/>
        <v>2820</v>
      </c>
      <c r="K1182" s="201">
        <f t="shared" si="984"/>
        <v>140.99999999995634</v>
      </c>
      <c r="L1182" s="254">
        <v>300</v>
      </c>
      <c r="M1182" s="249">
        <v>0.38541666666666669</v>
      </c>
      <c r="N1182" s="235">
        <v>198477</v>
      </c>
      <c r="O1182" s="235">
        <v>12430</v>
      </c>
      <c r="P1182" s="235">
        <v>9880</v>
      </c>
      <c r="Q1182" s="235"/>
      <c r="R1182" s="235">
        <v>41371</v>
      </c>
      <c r="S1182" s="236">
        <v>9628.6</v>
      </c>
      <c r="T1182" s="236"/>
      <c r="U1182" s="236"/>
      <c r="V1182" s="235">
        <v>278977</v>
      </c>
      <c r="W1182" s="235">
        <v>123380</v>
      </c>
      <c r="X1182" s="235">
        <v>103030</v>
      </c>
      <c r="Y1182" s="235">
        <v>92778</v>
      </c>
      <c r="Z1182" s="235">
        <v>195903</v>
      </c>
    </row>
    <row r="1183" spans="1:26" ht="18" hidden="1" customHeight="1" x14ac:dyDescent="0.2">
      <c r="A1183" s="47">
        <f t="shared" si="905"/>
        <v>44034</v>
      </c>
      <c r="B1183" s="47" t="str">
        <f t="shared" si="999"/>
        <v>三</v>
      </c>
      <c r="C1183" s="48">
        <f t="shared" ref="C1183" si="1021">(V1184-V1183)*1+(W1184-W1183)*32+(X1184-X1183)*12+(Y1184-Y1183)*6</f>
        <v>2247</v>
      </c>
      <c r="D1183" s="84">
        <f t="shared" si="997"/>
        <v>80</v>
      </c>
      <c r="E1183" s="45">
        <f t="shared" si="998"/>
        <v>905.99999999991269</v>
      </c>
      <c r="F1183" s="45">
        <f t="shared" ref="F1183" si="1022">(Z1184-Z1183)*1</f>
        <v>78</v>
      </c>
      <c r="G1183" s="79">
        <f t="shared" ref="G1183" si="1023">C1183+D1183+F1183+E1183</f>
        <v>3310.9999999999127</v>
      </c>
      <c r="H1183" s="199">
        <v>3037</v>
      </c>
      <c r="I1183" s="199">
        <v>380</v>
      </c>
      <c r="J1183" s="200">
        <f t="shared" si="983"/>
        <v>3417</v>
      </c>
      <c r="K1183" s="201">
        <f t="shared" si="984"/>
        <v>106.00000000008731</v>
      </c>
      <c r="L1183" s="254">
        <v>333</v>
      </c>
      <c r="M1183" s="249">
        <v>0.46875</v>
      </c>
      <c r="N1183" s="235">
        <v>198477</v>
      </c>
      <c r="O1183" s="235">
        <v>12431</v>
      </c>
      <c r="P1183" s="235">
        <v>9885</v>
      </c>
      <c r="Q1183" s="235"/>
      <c r="R1183" s="235">
        <v>41396</v>
      </c>
      <c r="S1183" s="236">
        <v>9635.2000000000007</v>
      </c>
      <c r="T1183" s="236"/>
      <c r="U1183" s="236"/>
      <c r="V1183" s="235">
        <v>279192</v>
      </c>
      <c r="W1183" s="235">
        <v>123415</v>
      </c>
      <c r="X1183" s="235">
        <v>103063</v>
      </c>
      <c r="Y1183" s="235">
        <v>92778</v>
      </c>
      <c r="Z1183" s="235">
        <v>195994</v>
      </c>
    </row>
    <row r="1184" spans="1:26" ht="18" hidden="1" customHeight="1" x14ac:dyDescent="0.2">
      <c r="A1184" s="47">
        <f t="shared" si="905"/>
        <v>44035</v>
      </c>
      <c r="B1184" s="47" t="str">
        <f t="shared" si="999"/>
        <v>四</v>
      </c>
      <c r="C1184" s="48">
        <f t="shared" ref="C1184" si="1024">(V1185-V1184)*1+(W1185-W1184)*32+(X1185-X1184)*12+(Y1185-Y1184)*6</f>
        <v>1965</v>
      </c>
      <c r="D1184" s="84">
        <f t="shared" si="997"/>
        <v>88</v>
      </c>
      <c r="E1184" s="45">
        <f t="shared" si="998"/>
        <v>804</v>
      </c>
      <c r="F1184" s="45">
        <f t="shared" ref="F1184" si="1025">(Z1185-Z1184)*1</f>
        <v>82</v>
      </c>
      <c r="G1184" s="79">
        <f t="shared" ref="G1184" si="1026">C1184+D1184+F1184+E1184</f>
        <v>2939</v>
      </c>
      <c r="H1184" s="199">
        <v>2656</v>
      </c>
      <c r="I1184" s="199">
        <v>385</v>
      </c>
      <c r="J1184" s="200">
        <f t="shared" si="983"/>
        <v>3041</v>
      </c>
      <c r="K1184" s="201">
        <f t="shared" si="984"/>
        <v>102</v>
      </c>
      <c r="L1184" s="254">
        <v>324</v>
      </c>
      <c r="M1184" s="249">
        <v>0.57291666666666663</v>
      </c>
      <c r="N1184" s="235">
        <v>198477</v>
      </c>
      <c r="O1184" s="235">
        <v>12432</v>
      </c>
      <c r="P1184" s="235">
        <v>9895</v>
      </c>
      <c r="Q1184" s="235"/>
      <c r="R1184" s="235">
        <v>41426</v>
      </c>
      <c r="S1184" s="236">
        <v>9642.5</v>
      </c>
      <c r="T1184" s="236"/>
      <c r="U1184" s="236"/>
      <c r="V1184" s="235">
        <v>279427</v>
      </c>
      <c r="W1184" s="235">
        <v>123458</v>
      </c>
      <c r="X1184" s="235">
        <v>103116</v>
      </c>
      <c r="Y1184" s="235">
        <v>92778</v>
      </c>
      <c r="Z1184" s="235">
        <v>196072</v>
      </c>
    </row>
    <row r="1185" spans="1:26" ht="18" hidden="1" customHeight="1" x14ac:dyDescent="0.2">
      <c r="A1185" s="47">
        <f t="shared" si="905"/>
        <v>44036</v>
      </c>
      <c r="B1185" s="47" t="str">
        <f t="shared" si="999"/>
        <v>五</v>
      </c>
      <c r="C1185" s="48">
        <f t="shared" ref="C1185:C1187" si="1027">(V1186-V1185)*1+(W1186-W1185)*32+(X1186-X1185)*12+(Y1186-Y1185)*6</f>
        <v>0</v>
      </c>
      <c r="D1185" s="84">
        <f t="shared" si="997"/>
        <v>0</v>
      </c>
      <c r="E1185" s="45">
        <f t="shared" si="998"/>
        <v>0</v>
      </c>
      <c r="F1185" s="45">
        <f t="shared" ref="F1185:F1187" si="1028">(Z1186-Z1185)*1</f>
        <v>0</v>
      </c>
      <c r="G1185" s="79">
        <f t="shared" ref="G1185:G1187" si="1029">C1185+D1185+F1185+E1185</f>
        <v>0</v>
      </c>
      <c r="H1185" s="199">
        <v>3030</v>
      </c>
      <c r="I1185" s="199">
        <v>395</v>
      </c>
      <c r="J1185" s="200">
        <f t="shared" si="983"/>
        <v>3425</v>
      </c>
      <c r="K1185" s="201">
        <f t="shared" si="984"/>
        <v>3425</v>
      </c>
      <c r="L1185" s="254">
        <v>309</v>
      </c>
      <c r="M1185" s="249">
        <v>0.59375</v>
      </c>
      <c r="N1185" s="235">
        <v>198487</v>
      </c>
      <c r="O1185" s="235">
        <v>12433</v>
      </c>
      <c r="P1185" s="235">
        <v>9896</v>
      </c>
      <c r="Q1185" s="235"/>
      <c r="R1185" s="235">
        <v>41450</v>
      </c>
      <c r="S1185" s="236">
        <v>9649</v>
      </c>
      <c r="T1185" s="236"/>
      <c r="U1185" s="236"/>
      <c r="V1185" s="235">
        <v>279648</v>
      </c>
      <c r="W1185" s="235">
        <v>123496</v>
      </c>
      <c r="X1185" s="235">
        <v>103160</v>
      </c>
      <c r="Y1185" s="235">
        <v>92778</v>
      </c>
      <c r="Z1185" s="235">
        <v>196154</v>
      </c>
    </row>
    <row r="1186" spans="1:26" ht="18" hidden="1" customHeight="1" x14ac:dyDescent="0.2">
      <c r="A1186" s="47">
        <f t="shared" si="905"/>
        <v>44037</v>
      </c>
      <c r="B1186" s="47" t="str">
        <f t="shared" si="999"/>
        <v>六</v>
      </c>
      <c r="C1186" s="48">
        <f t="shared" si="1027"/>
        <v>0</v>
      </c>
      <c r="D1186" s="84">
        <f t="shared" si="997"/>
        <v>0</v>
      </c>
      <c r="E1186" s="45">
        <f t="shared" si="998"/>
        <v>0</v>
      </c>
      <c r="F1186" s="45">
        <f t="shared" si="1028"/>
        <v>0</v>
      </c>
      <c r="G1186" s="79">
        <f t="shared" si="1029"/>
        <v>0</v>
      </c>
      <c r="H1186" s="199">
        <v>0</v>
      </c>
      <c r="I1186" s="199">
        <f>1346+319</f>
        <v>1665</v>
      </c>
      <c r="J1186" s="200">
        <f t="shared" si="983"/>
        <v>1665</v>
      </c>
      <c r="K1186" s="201">
        <f t="shared" si="984"/>
        <v>1665</v>
      </c>
      <c r="L1186" s="254">
        <v>151</v>
      </c>
      <c r="M1186" s="249">
        <v>0.39583333333333331</v>
      </c>
      <c r="N1186" s="153">
        <v>198487</v>
      </c>
      <c r="O1186" s="153">
        <v>12433</v>
      </c>
      <c r="P1186" s="153">
        <v>9896</v>
      </c>
      <c r="Q1186" s="153"/>
      <c r="R1186" s="153">
        <v>41450</v>
      </c>
      <c r="S1186" s="154">
        <v>9649</v>
      </c>
      <c r="T1186" s="154"/>
      <c r="U1186" s="154"/>
      <c r="V1186" s="153">
        <v>279648</v>
      </c>
      <c r="W1186" s="153">
        <v>123496</v>
      </c>
      <c r="X1186" s="153">
        <v>103160</v>
      </c>
      <c r="Y1186" s="153">
        <v>92778</v>
      </c>
      <c r="Z1186" s="153">
        <v>196154</v>
      </c>
    </row>
    <row r="1187" spans="1:26" ht="18" hidden="1" customHeight="1" x14ac:dyDescent="0.2">
      <c r="A1187" s="47">
        <f t="shared" si="905"/>
        <v>44038</v>
      </c>
      <c r="B1187" s="47" t="str">
        <f t="shared" si="999"/>
        <v>日</v>
      </c>
      <c r="C1187" s="48">
        <f t="shared" si="1027"/>
        <v>3158</v>
      </c>
      <c r="D1187" s="84">
        <f t="shared" si="997"/>
        <v>152</v>
      </c>
      <c r="E1187" s="45">
        <f t="shared" si="998"/>
        <v>2801.0000000000873</v>
      </c>
      <c r="F1187" s="45">
        <f t="shared" si="1028"/>
        <v>373</v>
      </c>
      <c r="G1187" s="79">
        <f t="shared" si="1029"/>
        <v>6484.0000000000873</v>
      </c>
      <c r="H1187" s="199">
        <v>0</v>
      </c>
      <c r="I1187" s="199">
        <v>1771</v>
      </c>
      <c r="J1187" s="200">
        <f t="shared" si="983"/>
        <v>1771</v>
      </c>
      <c r="K1187" s="201">
        <f t="shared" si="984"/>
        <v>-4713.0000000000873</v>
      </c>
      <c r="L1187" s="254">
        <v>146</v>
      </c>
      <c r="M1187" s="249">
        <v>0.45833333333333331</v>
      </c>
      <c r="N1187" s="153">
        <v>198487</v>
      </c>
      <c r="O1187" s="153">
        <v>12433</v>
      </c>
      <c r="P1187" s="153">
        <v>9896</v>
      </c>
      <c r="Q1187" s="153"/>
      <c r="R1187" s="153">
        <v>41450</v>
      </c>
      <c r="S1187" s="154">
        <v>9649</v>
      </c>
      <c r="T1187" s="154"/>
      <c r="U1187" s="154"/>
      <c r="V1187" s="153">
        <v>279648</v>
      </c>
      <c r="W1187" s="153">
        <v>123496</v>
      </c>
      <c r="X1187" s="153">
        <v>103160</v>
      </c>
      <c r="Y1187" s="153">
        <v>92778</v>
      </c>
      <c r="Z1187" s="153">
        <v>196154</v>
      </c>
    </row>
    <row r="1188" spans="1:26" ht="18" hidden="1" customHeight="1" x14ac:dyDescent="0.2">
      <c r="A1188" s="47">
        <f t="shared" si="905"/>
        <v>44039</v>
      </c>
      <c r="B1188" s="47" t="str">
        <f t="shared" si="999"/>
        <v>一</v>
      </c>
      <c r="C1188" s="48">
        <f t="shared" ref="C1188" si="1030">(V1189-V1188)*1+(W1189-W1188)*32+(X1189-X1188)*12+(Y1189-Y1188)*6</f>
        <v>2649</v>
      </c>
      <c r="D1188" s="84">
        <f t="shared" si="997"/>
        <v>32</v>
      </c>
      <c r="E1188" s="45">
        <f t="shared" si="998"/>
        <v>1055.9999999998254</v>
      </c>
      <c r="F1188" s="45">
        <f t="shared" ref="F1188" si="1031">(Z1189-Z1188)*1</f>
        <v>90</v>
      </c>
      <c r="G1188" s="79">
        <f t="shared" ref="G1188" si="1032">C1188+D1188+F1188+E1188</f>
        <v>3826.9999999998254</v>
      </c>
      <c r="H1188" s="199">
        <v>3635</v>
      </c>
      <c r="I1188" s="199">
        <v>371</v>
      </c>
      <c r="J1188" s="200">
        <f t="shared" si="983"/>
        <v>4006</v>
      </c>
      <c r="K1188" s="201">
        <f t="shared" si="984"/>
        <v>179.00000000017462</v>
      </c>
      <c r="L1188" s="254">
        <v>351</v>
      </c>
      <c r="M1188" s="249">
        <v>0.42708333333333331</v>
      </c>
      <c r="N1188" s="235">
        <v>198497</v>
      </c>
      <c r="O1188" s="235">
        <v>12437</v>
      </c>
      <c r="P1188" s="235">
        <v>9905</v>
      </c>
      <c r="Q1188" s="235"/>
      <c r="R1188" s="235">
        <v>41527</v>
      </c>
      <c r="S1188" s="236">
        <v>9671.7000000000007</v>
      </c>
      <c r="T1188" s="236"/>
      <c r="U1188" s="236"/>
      <c r="V1188" s="235">
        <v>280190</v>
      </c>
      <c r="W1188" s="235">
        <v>123559</v>
      </c>
      <c r="X1188" s="235">
        <v>103210</v>
      </c>
      <c r="Y1188" s="235">
        <v>92778</v>
      </c>
      <c r="Z1188" s="235">
        <v>196527</v>
      </c>
    </row>
    <row r="1189" spans="1:26" ht="18" hidden="1" customHeight="1" x14ac:dyDescent="0.2">
      <c r="A1189" s="47">
        <f t="shared" si="905"/>
        <v>44040</v>
      </c>
      <c r="B1189" s="47" t="str">
        <f t="shared" si="999"/>
        <v>二</v>
      </c>
      <c r="C1189" s="48">
        <f t="shared" ref="C1189" si="1033">(V1190-V1189)*1+(W1190-W1189)*32+(X1190-X1189)*12+(Y1190-Y1189)*6</f>
        <v>2603</v>
      </c>
      <c r="D1189" s="84">
        <f t="shared" si="997"/>
        <v>32</v>
      </c>
      <c r="E1189" s="45">
        <f t="shared" si="998"/>
        <v>771.00000000008731</v>
      </c>
      <c r="F1189" s="45">
        <f t="shared" ref="F1189" si="1034">(Z1190-Z1189)*1</f>
        <v>94</v>
      </c>
      <c r="G1189" s="79">
        <f t="shared" ref="G1189" si="1035">C1189+D1189+F1189+E1189</f>
        <v>3500.0000000000873</v>
      </c>
      <c r="H1189" s="199">
        <v>3294</v>
      </c>
      <c r="I1189" s="199">
        <v>370</v>
      </c>
      <c r="J1189" s="200">
        <f t="shared" si="983"/>
        <v>3664</v>
      </c>
      <c r="K1189" s="201">
        <f t="shared" si="984"/>
        <v>163.99999999991269</v>
      </c>
      <c r="L1189" s="254">
        <v>315</v>
      </c>
      <c r="M1189" s="249">
        <v>0.38541666666666669</v>
      </c>
      <c r="N1189" s="235">
        <v>198497</v>
      </c>
      <c r="O1189" s="235">
        <v>12437</v>
      </c>
      <c r="P1189" s="235">
        <v>9909</v>
      </c>
      <c r="Q1189" s="235"/>
      <c r="R1189" s="235">
        <v>41551</v>
      </c>
      <c r="S1189" s="236">
        <v>9680.2999999999993</v>
      </c>
      <c r="T1189" s="236"/>
      <c r="U1189" s="236"/>
      <c r="V1189" s="235">
        <v>280411</v>
      </c>
      <c r="W1189" s="235">
        <v>123606</v>
      </c>
      <c r="X1189" s="235">
        <v>103287</v>
      </c>
      <c r="Y1189" s="235">
        <v>92778</v>
      </c>
      <c r="Z1189" s="235">
        <v>196617</v>
      </c>
    </row>
    <row r="1190" spans="1:26" ht="18" hidden="1" customHeight="1" x14ac:dyDescent="0.2">
      <c r="A1190" s="47">
        <f t="shared" si="905"/>
        <v>44041</v>
      </c>
      <c r="B1190" s="47" t="str">
        <f t="shared" si="999"/>
        <v>三</v>
      </c>
      <c r="C1190" s="48">
        <f t="shared" ref="C1190" si="1036">(V1191-V1190)*1+(W1191-W1190)*32+(X1191-X1190)*12+(Y1191-Y1190)*6</f>
        <v>2579</v>
      </c>
      <c r="D1190" s="84">
        <f t="shared" si="997"/>
        <v>32</v>
      </c>
      <c r="E1190" s="45">
        <f t="shared" si="998"/>
        <v>971.99999999995634</v>
      </c>
      <c r="F1190" s="45">
        <f t="shared" ref="F1190" si="1037">(Z1191-Z1190)*1</f>
        <v>93</v>
      </c>
      <c r="G1190" s="79">
        <f t="shared" ref="G1190" si="1038">C1190+D1190+F1190+E1190</f>
        <v>3675.9999999999563</v>
      </c>
      <c r="H1190" s="199">
        <v>3403</v>
      </c>
      <c r="I1190" s="199">
        <v>380</v>
      </c>
      <c r="J1190" s="200">
        <f t="shared" si="983"/>
        <v>3783</v>
      </c>
      <c r="K1190" s="201">
        <f t="shared" si="984"/>
        <v>107.00000000004366</v>
      </c>
      <c r="L1190" s="254">
        <v>333</v>
      </c>
      <c r="M1190" s="249">
        <v>0.45833333333333331</v>
      </c>
      <c r="N1190" s="235">
        <v>198497</v>
      </c>
      <c r="O1190" s="235">
        <v>12437</v>
      </c>
      <c r="P1190" s="235">
        <v>9913</v>
      </c>
      <c r="Q1190" s="235"/>
      <c r="R1190" s="235">
        <v>41578</v>
      </c>
      <c r="S1190" s="236">
        <v>9686.5</v>
      </c>
      <c r="T1190" s="236"/>
      <c r="U1190" s="236"/>
      <c r="V1190" s="235">
        <v>280630</v>
      </c>
      <c r="W1190" s="235">
        <v>123652</v>
      </c>
      <c r="X1190" s="235">
        <v>103363</v>
      </c>
      <c r="Y1190" s="235">
        <v>92778</v>
      </c>
      <c r="Z1190" s="235">
        <v>196711</v>
      </c>
    </row>
    <row r="1191" spans="1:26" ht="18" hidden="1" customHeight="1" x14ac:dyDescent="0.2">
      <c r="A1191" s="47">
        <f t="shared" si="905"/>
        <v>44042</v>
      </c>
      <c r="B1191" s="47" t="str">
        <f t="shared" si="999"/>
        <v>四</v>
      </c>
      <c r="C1191" s="48">
        <f t="shared" ref="C1191" si="1039">(V1192-V1191)*1+(W1192-W1191)*32+(X1192-X1191)*12+(Y1192-Y1191)*6</f>
        <v>2587</v>
      </c>
      <c r="D1191" s="84">
        <f t="shared" si="997"/>
        <v>24</v>
      </c>
      <c r="E1191" s="45">
        <f t="shared" si="998"/>
        <v>817.00000000004366</v>
      </c>
      <c r="F1191" s="45">
        <f t="shared" ref="F1191" si="1040">(Z1192-Z1191)*1</f>
        <v>102</v>
      </c>
      <c r="G1191" s="79">
        <f t="shared" ref="G1191" si="1041">C1191+D1191+F1191+E1191</f>
        <v>3530.0000000000437</v>
      </c>
      <c r="H1191" s="199">
        <v>3248</v>
      </c>
      <c r="I1191" s="199">
        <v>388</v>
      </c>
      <c r="J1191" s="200">
        <f t="shared" si="983"/>
        <v>3636</v>
      </c>
      <c r="K1191" s="201">
        <f t="shared" si="984"/>
        <v>105.99999999995634</v>
      </c>
      <c r="L1191" s="254">
        <v>319</v>
      </c>
      <c r="M1191" s="249">
        <v>0.42708333333333331</v>
      </c>
      <c r="N1191" s="235">
        <v>198497</v>
      </c>
      <c r="O1191" s="235">
        <v>12437</v>
      </c>
      <c r="P1191" s="235">
        <v>9917</v>
      </c>
      <c r="Q1191" s="235"/>
      <c r="R1191" s="235">
        <v>41602</v>
      </c>
      <c r="S1191" s="236">
        <v>9694.4</v>
      </c>
      <c r="T1191" s="236"/>
      <c r="U1191" s="236"/>
      <c r="V1191" s="235">
        <v>280857</v>
      </c>
      <c r="W1191" s="235">
        <v>123700</v>
      </c>
      <c r="X1191" s="235">
        <v>103431</v>
      </c>
      <c r="Y1191" s="235">
        <v>92778</v>
      </c>
      <c r="Z1191" s="235">
        <v>196804</v>
      </c>
    </row>
    <row r="1192" spans="1:26" ht="18" hidden="1" customHeight="1" x14ac:dyDescent="0.2">
      <c r="A1192" s="47">
        <f t="shared" ref="A1192:A1255" si="1042">A1191+1</f>
        <v>44043</v>
      </c>
      <c r="B1192" s="47" t="str">
        <f t="shared" si="999"/>
        <v>五</v>
      </c>
      <c r="C1192" s="48">
        <f t="shared" ref="C1192:C1193" si="1043">(V1193-V1192)*1+(W1193-W1192)*32+(X1193-X1192)*12+(Y1193-Y1192)*6</f>
        <v>0</v>
      </c>
      <c r="D1192" s="84">
        <f t="shared" si="997"/>
        <v>0</v>
      </c>
      <c r="E1192" s="45">
        <f t="shared" si="998"/>
        <v>0</v>
      </c>
      <c r="F1192" s="45">
        <f t="shared" ref="F1192:F1193" si="1044">(Z1193-Z1192)*1</f>
        <v>0</v>
      </c>
      <c r="G1192" s="79">
        <f t="shared" ref="G1192:G1193" si="1045">C1192+D1192+F1192+E1192</f>
        <v>0</v>
      </c>
      <c r="H1192" s="199">
        <v>3316</v>
      </c>
      <c r="I1192" s="199">
        <v>391</v>
      </c>
      <c r="J1192" s="200">
        <f t="shared" si="983"/>
        <v>3707</v>
      </c>
      <c r="K1192" s="201">
        <f t="shared" si="984"/>
        <v>3707</v>
      </c>
      <c r="L1192" s="254">
        <v>303</v>
      </c>
      <c r="M1192" s="249">
        <v>0.46875</v>
      </c>
      <c r="N1192" s="235">
        <v>198497</v>
      </c>
      <c r="O1192" s="235">
        <v>12437</v>
      </c>
      <c r="P1192" s="235">
        <v>9920</v>
      </c>
      <c r="Q1192" s="235"/>
      <c r="R1192" s="235">
        <v>41627</v>
      </c>
      <c r="S1192" s="236">
        <v>9701</v>
      </c>
      <c r="T1192" s="236"/>
      <c r="U1192" s="236"/>
      <c r="V1192" s="235">
        <v>281080</v>
      </c>
      <c r="W1192" s="235">
        <v>123748</v>
      </c>
      <c r="X1192" s="235">
        <v>103500</v>
      </c>
      <c r="Y1192" s="235">
        <v>92778</v>
      </c>
      <c r="Z1192" s="235">
        <v>196906</v>
      </c>
    </row>
    <row r="1193" spans="1:26" ht="18" hidden="1" customHeight="1" x14ac:dyDescent="0.2">
      <c r="A1193" s="47">
        <f t="shared" si="1042"/>
        <v>44044</v>
      </c>
      <c r="B1193" s="47" t="str">
        <f t="shared" si="999"/>
        <v>六</v>
      </c>
      <c r="C1193" s="48">
        <f t="shared" si="1043"/>
        <v>0</v>
      </c>
      <c r="D1193" s="84">
        <f t="shared" si="997"/>
        <v>0</v>
      </c>
      <c r="E1193" s="45">
        <f t="shared" si="998"/>
        <v>0</v>
      </c>
      <c r="F1193" s="45">
        <f t="shared" si="1044"/>
        <v>0</v>
      </c>
      <c r="G1193" s="79">
        <f t="shared" si="1045"/>
        <v>0</v>
      </c>
      <c r="H1193" s="199">
        <v>0</v>
      </c>
      <c r="I1193" s="199">
        <f>2838+392</f>
        <v>3230</v>
      </c>
      <c r="J1193" s="200">
        <f t="shared" ref="J1193:J1255" si="1046">H1193+I1193</f>
        <v>3230</v>
      </c>
      <c r="K1193" s="201">
        <f t="shared" ref="K1193:K1255" si="1047">J1193-G1193</f>
        <v>3230</v>
      </c>
      <c r="L1193" s="254">
        <v>327</v>
      </c>
      <c r="M1193" s="249" t="s">
        <v>171</v>
      </c>
      <c r="N1193" s="153">
        <v>198497</v>
      </c>
      <c r="O1193" s="153">
        <v>12437</v>
      </c>
      <c r="P1193" s="153">
        <v>9920</v>
      </c>
      <c r="Q1193" s="153"/>
      <c r="R1193" s="153">
        <v>41627</v>
      </c>
      <c r="S1193" s="154">
        <v>9701</v>
      </c>
      <c r="T1193" s="154"/>
      <c r="U1193" s="154"/>
      <c r="V1193" s="153">
        <v>281080</v>
      </c>
      <c r="W1193" s="153">
        <v>123748</v>
      </c>
      <c r="X1193" s="153">
        <v>103500</v>
      </c>
      <c r="Y1193" s="153">
        <v>92778</v>
      </c>
      <c r="Z1193" s="153">
        <v>196906</v>
      </c>
    </row>
    <row r="1194" spans="1:26" ht="18" hidden="1" customHeight="1" x14ac:dyDescent="0.2">
      <c r="A1194" s="47">
        <f t="shared" si="1042"/>
        <v>44045</v>
      </c>
      <c r="B1194" s="47" t="str">
        <f t="shared" si="999"/>
        <v>日</v>
      </c>
      <c r="C1194" s="48">
        <f t="shared" ref="C1194" si="1048">(V1195-V1194)*1+(W1195-W1194)*32+(X1195-X1194)*12+(Y1195-Y1194)*6</f>
        <v>4860</v>
      </c>
      <c r="D1194" s="84">
        <f t="shared" si="997"/>
        <v>240</v>
      </c>
      <c r="E1194" s="45">
        <f t="shared" si="998"/>
        <v>2873.9999999999127</v>
      </c>
      <c r="F1194" s="45">
        <f t="shared" ref="F1194" si="1049">(Z1195-Z1194)*1</f>
        <v>279</v>
      </c>
      <c r="G1194" s="79">
        <f t="shared" ref="G1194" si="1050">C1194+D1194+F1194+E1194</f>
        <v>8252.9999999999127</v>
      </c>
      <c r="H1194" s="199">
        <v>0</v>
      </c>
      <c r="I1194" s="199">
        <v>1852</v>
      </c>
      <c r="J1194" s="200">
        <f t="shared" si="1046"/>
        <v>1852</v>
      </c>
      <c r="K1194" s="201">
        <f t="shared" si="1047"/>
        <v>-6400.9999999999127</v>
      </c>
      <c r="L1194" s="254">
        <v>144</v>
      </c>
      <c r="M1194" s="271" t="s">
        <v>172</v>
      </c>
      <c r="N1194" s="153">
        <v>198497</v>
      </c>
      <c r="O1194" s="153">
        <v>12437</v>
      </c>
      <c r="P1194" s="153">
        <v>9920</v>
      </c>
      <c r="Q1194" s="153"/>
      <c r="R1194" s="153">
        <v>41627</v>
      </c>
      <c r="S1194" s="154">
        <v>9701</v>
      </c>
      <c r="T1194" s="154"/>
      <c r="U1194" s="154"/>
      <c r="V1194" s="153">
        <v>281080</v>
      </c>
      <c r="W1194" s="153">
        <v>123748</v>
      </c>
      <c r="X1194" s="153">
        <v>103500</v>
      </c>
      <c r="Y1194" s="153">
        <v>92778</v>
      </c>
      <c r="Z1194" s="153">
        <v>196906</v>
      </c>
    </row>
    <row r="1195" spans="1:26" ht="18" hidden="1" customHeight="1" x14ac:dyDescent="0.2">
      <c r="A1195" s="47">
        <f t="shared" si="1042"/>
        <v>44046</v>
      </c>
      <c r="B1195" s="47" t="str">
        <f t="shared" si="999"/>
        <v>一</v>
      </c>
      <c r="C1195" s="48">
        <f t="shared" ref="C1195" si="1051">(V1196-V1195)*1+(W1196-W1195)*32+(X1196-X1195)*12+(Y1196-Y1195)*6</f>
        <v>2701</v>
      </c>
      <c r="D1195" s="84">
        <f t="shared" si="997"/>
        <v>24</v>
      </c>
      <c r="E1195" s="45">
        <f t="shared" si="998"/>
        <v>1085.000000000131</v>
      </c>
      <c r="F1195" s="45">
        <f t="shared" ref="F1195" si="1052">(Z1196-Z1195)*1</f>
        <v>105</v>
      </c>
      <c r="G1195" s="79">
        <f t="shared" ref="G1195" si="1053">C1195+D1195+F1195+E1195</f>
        <v>3915.000000000131</v>
      </c>
      <c r="H1195" s="199">
        <v>3559</v>
      </c>
      <c r="I1195" s="199">
        <v>375</v>
      </c>
      <c r="J1195" s="200">
        <f t="shared" si="1046"/>
        <v>3934</v>
      </c>
      <c r="K1195" s="201">
        <f t="shared" si="1047"/>
        <v>18.999999999869033</v>
      </c>
      <c r="L1195" s="254">
        <v>335</v>
      </c>
      <c r="M1195" s="249">
        <v>0.44791666666666669</v>
      </c>
      <c r="N1195" s="235">
        <v>198517</v>
      </c>
      <c r="O1195" s="235">
        <v>12443</v>
      </c>
      <c r="P1195" s="235">
        <v>9930</v>
      </c>
      <c r="Q1195" s="235"/>
      <c r="R1195" s="235">
        <v>41705</v>
      </c>
      <c r="S1195" s="236">
        <v>9724.2999999999993</v>
      </c>
      <c r="T1195" s="236"/>
      <c r="U1195" s="236"/>
      <c r="V1195" s="235">
        <v>281724</v>
      </c>
      <c r="W1195" s="235">
        <v>123834</v>
      </c>
      <c r="X1195" s="235">
        <v>103622</v>
      </c>
      <c r="Y1195" s="235">
        <v>92778</v>
      </c>
      <c r="Z1195" s="235">
        <v>197185</v>
      </c>
    </row>
    <row r="1196" spans="1:26" ht="18" hidden="1" customHeight="1" x14ac:dyDescent="0.2">
      <c r="A1196" s="47">
        <f t="shared" si="1042"/>
        <v>44047</v>
      </c>
      <c r="B1196" s="47" t="str">
        <f t="shared" si="999"/>
        <v>二</v>
      </c>
      <c r="C1196" s="48">
        <f t="shared" ref="C1196" si="1054">(V1197-V1196)*1+(W1197-W1196)*32+(X1197-X1196)*12+(Y1197-Y1196)*6</f>
        <v>2232</v>
      </c>
      <c r="D1196" s="84">
        <f t="shared" si="997"/>
        <v>32</v>
      </c>
      <c r="E1196" s="45">
        <f t="shared" si="998"/>
        <v>940.00000000004366</v>
      </c>
      <c r="F1196" s="45">
        <f t="shared" ref="F1196" si="1055">(Z1197-Z1196)*1</f>
        <v>95</v>
      </c>
      <c r="G1196" s="79">
        <f t="shared" ref="G1196" si="1056">C1196+D1196+F1196+E1196</f>
        <v>3299.0000000000437</v>
      </c>
      <c r="H1196" s="199">
        <v>3047</v>
      </c>
      <c r="I1196" s="199">
        <v>378</v>
      </c>
      <c r="J1196" s="200">
        <f t="shared" si="1046"/>
        <v>3425</v>
      </c>
      <c r="K1196" s="201">
        <f t="shared" si="1047"/>
        <v>125.99999999995634</v>
      </c>
      <c r="L1196" s="254">
        <v>329</v>
      </c>
      <c r="M1196" s="249">
        <v>0.375</v>
      </c>
      <c r="N1196" s="235">
        <v>198517</v>
      </c>
      <c r="O1196" s="235">
        <v>12443</v>
      </c>
      <c r="P1196" s="235">
        <v>9933</v>
      </c>
      <c r="Q1196" s="235"/>
      <c r="R1196" s="235">
        <v>41734</v>
      </c>
      <c r="S1196" s="236">
        <v>9733.1</v>
      </c>
      <c r="T1196" s="236"/>
      <c r="U1196" s="236"/>
      <c r="V1196" s="235">
        <v>281929</v>
      </c>
      <c r="W1196" s="235">
        <v>123882</v>
      </c>
      <c r="X1196" s="235">
        <v>103702</v>
      </c>
      <c r="Y1196" s="235">
        <v>92778</v>
      </c>
      <c r="Z1196" s="235">
        <v>197290</v>
      </c>
    </row>
    <row r="1197" spans="1:26" ht="18" hidden="1" customHeight="1" x14ac:dyDescent="0.2">
      <c r="A1197" s="47">
        <f t="shared" si="1042"/>
        <v>44048</v>
      </c>
      <c r="B1197" s="47" t="str">
        <f t="shared" si="999"/>
        <v>三</v>
      </c>
      <c r="C1197" s="48">
        <f t="shared" ref="C1197" si="1057">(V1198-V1197)*1+(W1198-W1197)*32+(X1198-X1197)*12+(Y1198-Y1197)*6</f>
        <v>2220</v>
      </c>
      <c r="D1197" s="84">
        <f t="shared" si="997"/>
        <v>24</v>
      </c>
      <c r="E1197" s="45">
        <f t="shared" si="998"/>
        <v>781.99999999991269</v>
      </c>
      <c r="F1197" s="45">
        <f t="shared" ref="F1197" si="1058">(Z1198-Z1197)*1</f>
        <v>85</v>
      </c>
      <c r="G1197" s="79">
        <f t="shared" ref="G1197" si="1059">C1197+D1197+F1197+E1197</f>
        <v>3110.9999999999127</v>
      </c>
      <c r="H1197" s="199">
        <v>2932</v>
      </c>
      <c r="I1197" s="199">
        <v>387</v>
      </c>
      <c r="J1197" s="200">
        <f t="shared" si="1046"/>
        <v>3319</v>
      </c>
      <c r="K1197" s="201">
        <f t="shared" si="1047"/>
        <v>208.00000000008731</v>
      </c>
      <c r="L1197" s="254">
        <v>333</v>
      </c>
      <c r="M1197" s="249">
        <v>0.46875</v>
      </c>
      <c r="N1197" s="235">
        <v>198517</v>
      </c>
      <c r="O1197" s="235">
        <v>12443</v>
      </c>
      <c r="P1197" s="235">
        <v>9937</v>
      </c>
      <c r="Q1197" s="235"/>
      <c r="R1197" s="235">
        <v>41762</v>
      </c>
      <c r="S1197" s="236">
        <v>9740.7000000000007</v>
      </c>
      <c r="T1197" s="236"/>
      <c r="U1197" s="236"/>
      <c r="V1197" s="235">
        <v>282137</v>
      </c>
      <c r="W1197" s="235">
        <v>123922</v>
      </c>
      <c r="X1197" s="235">
        <v>103764</v>
      </c>
      <c r="Y1197" s="235">
        <v>92778</v>
      </c>
      <c r="Z1197" s="235">
        <v>197385</v>
      </c>
    </row>
    <row r="1198" spans="1:26" ht="18" hidden="1" customHeight="1" x14ac:dyDescent="0.2">
      <c r="A1198" s="47">
        <f t="shared" si="1042"/>
        <v>44049</v>
      </c>
      <c r="B1198" s="47" t="str">
        <f t="shared" si="999"/>
        <v>四</v>
      </c>
      <c r="C1198" s="48">
        <f t="shared" ref="C1198" si="1060">(V1199-V1198)*1+(W1199-W1198)*32+(X1199-X1198)*12+(Y1199-Y1198)*6</f>
        <v>2328</v>
      </c>
      <c r="D1198" s="84">
        <f t="shared" si="997"/>
        <v>120</v>
      </c>
      <c r="E1198" s="45">
        <f t="shared" si="998"/>
        <v>759.00000000004366</v>
      </c>
      <c r="F1198" s="45">
        <f t="shared" ref="F1198" si="1061">(Z1199-Z1198)*1</f>
        <v>72</v>
      </c>
      <c r="G1198" s="79">
        <f t="shared" ref="G1198" si="1062">C1198+D1198+F1198+E1198</f>
        <v>3279.0000000000437</v>
      </c>
      <c r="H1198" s="199">
        <v>2958</v>
      </c>
      <c r="I1198" s="199">
        <v>376</v>
      </c>
      <c r="J1198" s="200">
        <f t="shared" si="1046"/>
        <v>3334</v>
      </c>
      <c r="K1198" s="201">
        <f t="shared" si="1047"/>
        <v>54.999999999956344</v>
      </c>
      <c r="L1198" s="254">
        <v>339</v>
      </c>
      <c r="M1198" s="249">
        <v>0.42708333333333331</v>
      </c>
      <c r="N1198" s="235">
        <v>198517</v>
      </c>
      <c r="O1198" s="235">
        <v>12447</v>
      </c>
      <c r="P1198" s="235">
        <v>9940</v>
      </c>
      <c r="Q1198" s="235"/>
      <c r="R1198" s="235">
        <v>41788</v>
      </c>
      <c r="S1198" s="236">
        <v>9747</v>
      </c>
      <c r="T1198" s="236"/>
      <c r="U1198" s="236"/>
      <c r="V1198" s="235">
        <v>282357</v>
      </c>
      <c r="W1198" s="235">
        <v>123962</v>
      </c>
      <c r="X1198" s="235">
        <v>103824</v>
      </c>
      <c r="Y1198" s="235">
        <v>92778</v>
      </c>
      <c r="Z1198" s="235">
        <v>197470</v>
      </c>
    </row>
    <row r="1199" spans="1:26" ht="18" hidden="1" customHeight="1" x14ac:dyDescent="0.2">
      <c r="A1199" s="47">
        <f t="shared" si="1042"/>
        <v>44050</v>
      </c>
      <c r="B1199" s="47" t="str">
        <f t="shared" si="999"/>
        <v>五</v>
      </c>
      <c r="C1199" s="48">
        <f t="shared" ref="C1199:C1201" si="1063">(V1200-V1199)*1+(W1200-W1199)*32+(X1200-X1199)*12+(Y1200-Y1199)*6</f>
        <v>0</v>
      </c>
      <c r="D1199" s="84">
        <f t="shared" si="997"/>
        <v>0</v>
      </c>
      <c r="E1199" s="45">
        <f t="shared" si="998"/>
        <v>0</v>
      </c>
      <c r="F1199" s="45">
        <f t="shared" ref="F1199:F1201" si="1064">(Z1200-Z1199)*1</f>
        <v>0</v>
      </c>
      <c r="G1199" s="79">
        <f t="shared" ref="G1199:G1201" si="1065">C1199+D1199+F1199+E1199</f>
        <v>0</v>
      </c>
      <c r="H1199" s="199">
        <v>2831</v>
      </c>
      <c r="I1199" s="199">
        <v>385</v>
      </c>
      <c r="J1199" s="200">
        <f t="shared" si="1046"/>
        <v>3216</v>
      </c>
      <c r="K1199" s="201">
        <f t="shared" si="1047"/>
        <v>3216</v>
      </c>
      <c r="L1199" s="254">
        <v>314</v>
      </c>
      <c r="M1199" s="249">
        <v>0.46875</v>
      </c>
      <c r="N1199" s="235">
        <v>198517</v>
      </c>
      <c r="O1199" s="235">
        <v>12447</v>
      </c>
      <c r="P1199" s="235">
        <v>9955</v>
      </c>
      <c r="Q1199" s="235"/>
      <c r="R1199" s="235">
        <v>41815</v>
      </c>
      <c r="S1199" s="236">
        <v>9753.1</v>
      </c>
      <c r="T1199" s="236"/>
      <c r="U1199" s="236"/>
      <c r="V1199" s="235">
        <v>282597</v>
      </c>
      <c r="W1199" s="235">
        <v>124004</v>
      </c>
      <c r="X1199" s="235">
        <v>103886</v>
      </c>
      <c r="Y1199" s="235">
        <v>92778</v>
      </c>
      <c r="Z1199" s="235">
        <v>197542</v>
      </c>
    </row>
    <row r="1200" spans="1:26" ht="18" hidden="1" customHeight="1" x14ac:dyDescent="0.2">
      <c r="A1200" s="47">
        <f t="shared" si="1042"/>
        <v>44051</v>
      </c>
      <c r="B1200" s="47" t="str">
        <f t="shared" si="999"/>
        <v>六</v>
      </c>
      <c r="C1200" s="48">
        <f t="shared" si="1063"/>
        <v>0</v>
      </c>
      <c r="D1200" s="84">
        <f t="shared" si="997"/>
        <v>0</v>
      </c>
      <c r="E1200" s="45">
        <f t="shared" si="998"/>
        <v>0</v>
      </c>
      <c r="F1200" s="45">
        <f t="shared" si="1064"/>
        <v>0</v>
      </c>
      <c r="G1200" s="79">
        <f t="shared" si="1065"/>
        <v>0</v>
      </c>
      <c r="H1200" s="199">
        <v>0</v>
      </c>
      <c r="I1200" s="199">
        <f>1216+317</f>
        <v>1533</v>
      </c>
      <c r="J1200" s="200">
        <f t="shared" si="1046"/>
        <v>1533</v>
      </c>
      <c r="K1200" s="201">
        <f t="shared" si="1047"/>
        <v>1533</v>
      </c>
      <c r="L1200" s="254">
        <v>135</v>
      </c>
      <c r="M1200" s="249">
        <v>0.44791666666666669</v>
      </c>
      <c r="N1200" s="153">
        <v>198517</v>
      </c>
      <c r="O1200" s="153">
        <v>12447</v>
      </c>
      <c r="P1200" s="153">
        <v>9955</v>
      </c>
      <c r="Q1200" s="153"/>
      <c r="R1200" s="153">
        <v>41815</v>
      </c>
      <c r="S1200" s="154">
        <v>9753.1</v>
      </c>
      <c r="T1200" s="154"/>
      <c r="U1200" s="154"/>
      <c r="V1200" s="153">
        <v>282597</v>
      </c>
      <c r="W1200" s="153">
        <v>124004</v>
      </c>
      <c r="X1200" s="153">
        <v>103886</v>
      </c>
      <c r="Y1200" s="153">
        <v>92778</v>
      </c>
      <c r="Z1200" s="153">
        <v>197542</v>
      </c>
    </row>
    <row r="1201" spans="1:26" ht="18" hidden="1" customHeight="1" x14ac:dyDescent="0.2">
      <c r="A1201" s="47">
        <f t="shared" si="1042"/>
        <v>44052</v>
      </c>
      <c r="B1201" s="47" t="str">
        <f t="shared" si="999"/>
        <v>日</v>
      </c>
      <c r="C1201" s="48">
        <f t="shared" si="1063"/>
        <v>3167</v>
      </c>
      <c r="D1201" s="84">
        <f t="shared" si="997"/>
        <v>80</v>
      </c>
      <c r="E1201" s="45">
        <f t="shared" si="998"/>
        <v>2604</v>
      </c>
      <c r="F1201" s="45">
        <f t="shared" si="1064"/>
        <v>277</v>
      </c>
      <c r="G1201" s="79">
        <f t="shared" si="1065"/>
        <v>6128</v>
      </c>
      <c r="H1201" s="199">
        <v>0</v>
      </c>
      <c r="I1201" s="199">
        <v>1742</v>
      </c>
      <c r="J1201" s="200">
        <f t="shared" si="1046"/>
        <v>1742</v>
      </c>
      <c r="K1201" s="201">
        <f t="shared" si="1047"/>
        <v>-4386</v>
      </c>
      <c r="L1201" s="254">
        <v>134</v>
      </c>
      <c r="M1201" s="249">
        <v>0.48958333333333331</v>
      </c>
      <c r="N1201" s="153">
        <v>198517</v>
      </c>
      <c r="O1201" s="153">
        <v>12447</v>
      </c>
      <c r="P1201" s="153">
        <v>9955</v>
      </c>
      <c r="Q1201" s="153"/>
      <c r="R1201" s="153">
        <v>41815</v>
      </c>
      <c r="S1201" s="154">
        <v>9753.1</v>
      </c>
      <c r="T1201" s="154"/>
      <c r="U1201" s="154"/>
      <c r="V1201" s="153">
        <v>282597</v>
      </c>
      <c r="W1201" s="153">
        <v>124004</v>
      </c>
      <c r="X1201" s="153">
        <v>103886</v>
      </c>
      <c r="Y1201" s="153">
        <v>92778</v>
      </c>
      <c r="Z1201" s="153">
        <v>197542</v>
      </c>
    </row>
    <row r="1202" spans="1:26" ht="18" hidden="1" customHeight="1" x14ac:dyDescent="0.2">
      <c r="A1202" s="47">
        <f t="shared" si="1042"/>
        <v>44053</v>
      </c>
      <c r="B1202" s="47" t="str">
        <f t="shared" si="999"/>
        <v>一</v>
      </c>
      <c r="C1202" s="48">
        <f t="shared" ref="C1202" si="1066">(V1203-V1202)*1+(W1203-W1202)*32+(X1203-X1202)*12+(Y1203-Y1202)*6</f>
        <v>2645</v>
      </c>
      <c r="D1202" s="84">
        <f t="shared" si="997"/>
        <v>24</v>
      </c>
      <c r="E1202" s="45">
        <f t="shared" si="998"/>
        <v>1064.0000000000437</v>
      </c>
      <c r="F1202" s="45">
        <f t="shared" ref="F1202" si="1067">(Z1203-Z1202)*1</f>
        <v>101</v>
      </c>
      <c r="G1202" s="79">
        <f t="shared" ref="G1202" si="1068">C1202+D1202+F1202+E1202</f>
        <v>3834.0000000000437</v>
      </c>
      <c r="H1202" s="199">
        <v>3680</v>
      </c>
      <c r="I1202" s="199">
        <v>405</v>
      </c>
      <c r="J1202" s="200">
        <f t="shared" si="1046"/>
        <v>4085</v>
      </c>
      <c r="K1202" s="201">
        <f t="shared" si="1047"/>
        <v>250.99999999995634</v>
      </c>
      <c r="L1202" s="254">
        <v>329</v>
      </c>
      <c r="M1202" s="249">
        <v>0.42708333333333331</v>
      </c>
      <c r="N1202" s="235">
        <v>198527</v>
      </c>
      <c r="O1202" s="235">
        <v>12451</v>
      </c>
      <c r="P1202" s="235">
        <v>9955</v>
      </c>
      <c r="Q1202" s="235"/>
      <c r="R1202" s="235">
        <v>41899</v>
      </c>
      <c r="S1202" s="236">
        <v>9774.1</v>
      </c>
      <c r="T1202" s="236"/>
      <c r="U1202" s="236"/>
      <c r="V1202" s="235">
        <v>283152</v>
      </c>
      <c r="W1202" s="235">
        <v>124062</v>
      </c>
      <c r="X1202" s="235">
        <v>103949</v>
      </c>
      <c r="Y1202" s="235">
        <v>92778</v>
      </c>
      <c r="Z1202" s="235">
        <v>197819</v>
      </c>
    </row>
    <row r="1203" spans="1:26" ht="18" hidden="1" customHeight="1" x14ac:dyDescent="0.2">
      <c r="A1203" s="47">
        <f t="shared" si="1042"/>
        <v>44054</v>
      </c>
      <c r="B1203" s="47" t="str">
        <f t="shared" si="999"/>
        <v>二</v>
      </c>
      <c r="C1203" s="48">
        <f t="shared" ref="C1203" si="1069">(V1204-V1203)*1+(W1204-W1203)*32+(X1204-X1203)*12+(Y1204-Y1203)*6</f>
        <v>2304</v>
      </c>
      <c r="D1203" s="84">
        <f t="shared" si="997"/>
        <v>112</v>
      </c>
      <c r="E1203" s="45">
        <f t="shared" si="998"/>
        <v>782.99999999991269</v>
      </c>
      <c r="F1203" s="45">
        <f t="shared" ref="F1203" si="1070">(Z1204-Z1203)*1</f>
        <v>77</v>
      </c>
      <c r="G1203" s="79">
        <f t="shared" ref="G1203" si="1071">C1203+D1203+F1203+E1203</f>
        <v>3275.9999999999127</v>
      </c>
      <c r="H1203" s="199">
        <v>2989</v>
      </c>
      <c r="I1203" s="199">
        <v>380</v>
      </c>
      <c r="J1203" s="200">
        <f t="shared" si="1046"/>
        <v>3369</v>
      </c>
      <c r="K1203" s="201">
        <f t="shared" si="1047"/>
        <v>93.000000000087311</v>
      </c>
      <c r="L1203" s="254">
        <v>314</v>
      </c>
      <c r="M1203" s="249">
        <v>0.45833333333333331</v>
      </c>
      <c r="N1203" s="235">
        <v>198527</v>
      </c>
      <c r="O1203" s="235">
        <v>12451</v>
      </c>
      <c r="P1203" s="235">
        <v>9958</v>
      </c>
      <c r="Q1203" s="235"/>
      <c r="R1203" s="235">
        <v>41931</v>
      </c>
      <c r="S1203" s="236">
        <v>9782.7000000000007</v>
      </c>
      <c r="T1203" s="236"/>
      <c r="U1203" s="236"/>
      <c r="V1203" s="235">
        <v>283381</v>
      </c>
      <c r="W1203" s="235">
        <v>124112</v>
      </c>
      <c r="X1203" s="235">
        <v>104017</v>
      </c>
      <c r="Y1203" s="235">
        <v>92778</v>
      </c>
      <c r="Z1203" s="235">
        <v>197920</v>
      </c>
    </row>
    <row r="1204" spans="1:26" ht="18" hidden="1" customHeight="1" x14ac:dyDescent="0.2">
      <c r="A1204" s="47">
        <f t="shared" si="1042"/>
        <v>44055</v>
      </c>
      <c r="B1204" s="47" t="str">
        <f t="shared" si="999"/>
        <v>三</v>
      </c>
      <c r="C1204" s="48">
        <f t="shared" ref="C1204" si="1072">(V1205-V1204)*1+(W1205-W1204)*32+(X1205-X1204)*12+(Y1205-Y1204)*6</f>
        <v>2155</v>
      </c>
      <c r="D1204" s="84">
        <f t="shared" si="997"/>
        <v>136</v>
      </c>
      <c r="E1204" s="45">
        <f t="shared" si="998"/>
        <v>734.99999999995634</v>
      </c>
      <c r="F1204" s="45">
        <f t="shared" ref="F1204" si="1073">(Z1205-Z1204)*1</f>
        <v>106</v>
      </c>
      <c r="G1204" s="79">
        <f t="shared" ref="G1204" si="1074">C1204+D1204+F1204+E1204</f>
        <v>3131.9999999999563</v>
      </c>
      <c r="H1204" s="199">
        <v>2949</v>
      </c>
      <c r="I1204" s="199">
        <v>368</v>
      </c>
      <c r="J1204" s="200">
        <f t="shared" si="1046"/>
        <v>3317</v>
      </c>
      <c r="K1204" s="201">
        <f t="shared" si="1047"/>
        <v>185.00000000004366</v>
      </c>
      <c r="L1204" s="254">
        <v>336</v>
      </c>
      <c r="M1204" s="249">
        <v>0.375</v>
      </c>
      <c r="N1204" s="235">
        <v>198537</v>
      </c>
      <c r="O1204" s="235">
        <v>12452</v>
      </c>
      <c r="P1204" s="235">
        <v>9962</v>
      </c>
      <c r="Q1204" s="235"/>
      <c r="R1204" s="235">
        <v>41958</v>
      </c>
      <c r="S1204" s="236">
        <v>9789</v>
      </c>
      <c r="T1204" s="236"/>
      <c r="U1204" s="236"/>
      <c r="V1204" s="235">
        <v>283597</v>
      </c>
      <c r="W1204" s="235">
        <v>124154</v>
      </c>
      <c r="X1204" s="235">
        <v>104079</v>
      </c>
      <c r="Y1204" s="235">
        <v>92778</v>
      </c>
      <c r="Z1204" s="235">
        <v>197997</v>
      </c>
    </row>
    <row r="1205" spans="1:26" ht="18" hidden="1" customHeight="1" x14ac:dyDescent="0.2">
      <c r="A1205" s="47">
        <f t="shared" si="1042"/>
        <v>44056</v>
      </c>
      <c r="B1205" s="47" t="str">
        <f t="shared" si="999"/>
        <v>四</v>
      </c>
      <c r="C1205" s="48">
        <f t="shared" ref="C1205" si="1075">(V1206-V1205)*1+(W1206-W1205)*32+(X1206-X1205)*12+(Y1206-Y1205)*6</f>
        <v>2246</v>
      </c>
      <c r="D1205" s="84">
        <f t="shared" si="997"/>
        <v>192</v>
      </c>
      <c r="E1205" s="45">
        <f t="shared" si="998"/>
        <v>733.99999999995634</v>
      </c>
      <c r="F1205" s="45">
        <f t="shared" ref="F1205" si="1076">(Z1206-Z1205)*1</f>
        <v>94</v>
      </c>
      <c r="G1205" s="79">
        <f t="shared" ref="G1205" si="1077">C1205+D1205+F1205+E1205</f>
        <v>3265.9999999999563</v>
      </c>
      <c r="H1205" s="199">
        <v>2964</v>
      </c>
      <c r="I1205" s="199">
        <v>375</v>
      </c>
      <c r="J1205" s="200">
        <f t="shared" si="1046"/>
        <v>3339</v>
      </c>
      <c r="K1205" s="201">
        <f t="shared" si="1047"/>
        <v>73.000000000043656</v>
      </c>
      <c r="L1205" s="254">
        <v>325</v>
      </c>
      <c r="M1205" s="249">
        <v>0.46875</v>
      </c>
      <c r="N1205" s="235">
        <v>198547</v>
      </c>
      <c r="O1205" s="235">
        <v>12457</v>
      </c>
      <c r="P1205" s="235">
        <v>9969</v>
      </c>
      <c r="Q1205" s="235"/>
      <c r="R1205" s="235">
        <v>41985</v>
      </c>
      <c r="S1205" s="236">
        <v>9794.9</v>
      </c>
      <c r="T1205" s="236"/>
      <c r="U1205" s="236"/>
      <c r="V1205" s="235">
        <v>283824</v>
      </c>
      <c r="W1205" s="235">
        <v>124194</v>
      </c>
      <c r="X1205" s="235">
        <v>104133</v>
      </c>
      <c r="Y1205" s="235">
        <v>92778</v>
      </c>
      <c r="Z1205" s="235">
        <v>198103</v>
      </c>
    </row>
    <row r="1206" spans="1:26" ht="18" hidden="1" customHeight="1" x14ac:dyDescent="0.2">
      <c r="A1206" s="47">
        <f t="shared" si="1042"/>
        <v>44057</v>
      </c>
      <c r="B1206" s="47" t="str">
        <f t="shared" si="999"/>
        <v>五</v>
      </c>
      <c r="C1206" s="48">
        <f t="shared" ref="C1206:C1208" si="1078">(V1207-V1206)*1+(W1207-W1206)*32+(X1207-X1206)*12+(Y1207-Y1206)*6</f>
        <v>0</v>
      </c>
      <c r="D1206" s="84">
        <f t="shared" si="997"/>
        <v>0</v>
      </c>
      <c r="E1206" s="45">
        <f t="shared" si="998"/>
        <v>0</v>
      </c>
      <c r="F1206" s="45">
        <f t="shared" ref="F1206:F1208" si="1079">(Z1207-Z1206)*1</f>
        <v>0</v>
      </c>
      <c r="G1206" s="79">
        <f t="shared" ref="G1206:G1208" si="1080">C1206+D1206+F1206+E1206</f>
        <v>0</v>
      </c>
      <c r="H1206" s="199">
        <v>2824</v>
      </c>
      <c r="I1206" s="199">
        <v>366</v>
      </c>
      <c r="J1206" s="200">
        <f t="shared" si="1046"/>
        <v>3190</v>
      </c>
      <c r="K1206" s="201">
        <f t="shared" si="1047"/>
        <v>3190</v>
      </c>
      <c r="L1206" s="254">
        <v>314</v>
      </c>
      <c r="M1206" s="249" t="s">
        <v>173</v>
      </c>
      <c r="N1206" s="235">
        <v>198567</v>
      </c>
      <c r="O1206" s="235">
        <v>12460</v>
      </c>
      <c r="P1206" s="235">
        <v>9973</v>
      </c>
      <c r="Q1206" s="235"/>
      <c r="R1206" s="235">
        <v>42011</v>
      </c>
      <c r="S1206" s="236">
        <v>9800.7999999999993</v>
      </c>
      <c r="T1206" s="236"/>
      <c r="U1206" s="236"/>
      <c r="V1206" s="235">
        <v>284042</v>
      </c>
      <c r="W1206" s="235">
        <v>124236</v>
      </c>
      <c r="X1206" s="235">
        <v>104190</v>
      </c>
      <c r="Y1206" s="235">
        <v>92778</v>
      </c>
      <c r="Z1206" s="235">
        <v>198197</v>
      </c>
    </row>
    <row r="1207" spans="1:26" ht="18" hidden="1" customHeight="1" x14ac:dyDescent="0.2">
      <c r="A1207" s="47">
        <f t="shared" si="1042"/>
        <v>44058</v>
      </c>
      <c r="B1207" s="47" t="str">
        <f t="shared" si="999"/>
        <v>六</v>
      </c>
      <c r="C1207" s="48">
        <f t="shared" si="1078"/>
        <v>0</v>
      </c>
      <c r="D1207" s="84">
        <f t="shared" si="997"/>
        <v>0</v>
      </c>
      <c r="E1207" s="45">
        <f t="shared" si="998"/>
        <v>0</v>
      </c>
      <c r="F1207" s="45">
        <f t="shared" si="1079"/>
        <v>0</v>
      </c>
      <c r="G1207" s="79">
        <f t="shared" si="1080"/>
        <v>0</v>
      </c>
      <c r="H1207" s="199">
        <v>0</v>
      </c>
      <c r="I1207" s="199">
        <f>1210+302</f>
        <v>1512</v>
      </c>
      <c r="J1207" s="200">
        <f t="shared" si="1046"/>
        <v>1512</v>
      </c>
      <c r="K1207" s="201">
        <f t="shared" si="1047"/>
        <v>1512</v>
      </c>
      <c r="L1207" s="254">
        <v>132</v>
      </c>
      <c r="M1207" s="249">
        <v>0.44791666666666669</v>
      </c>
      <c r="N1207" s="160">
        <v>198567</v>
      </c>
      <c r="O1207" s="160">
        <v>12460</v>
      </c>
      <c r="P1207" s="160">
        <v>9973</v>
      </c>
      <c r="Q1207" s="160"/>
      <c r="R1207" s="160">
        <v>42011</v>
      </c>
      <c r="S1207" s="161">
        <v>9800.7999999999993</v>
      </c>
      <c r="T1207" s="161"/>
      <c r="U1207" s="161"/>
      <c r="V1207" s="160">
        <v>284042</v>
      </c>
      <c r="W1207" s="160">
        <v>124236</v>
      </c>
      <c r="X1207" s="160">
        <v>104190</v>
      </c>
      <c r="Y1207" s="160">
        <v>92778</v>
      </c>
      <c r="Z1207" s="160">
        <v>198197</v>
      </c>
    </row>
    <row r="1208" spans="1:26" ht="18" hidden="1" customHeight="1" x14ac:dyDescent="0.2">
      <c r="A1208" s="47">
        <f t="shared" si="1042"/>
        <v>44059</v>
      </c>
      <c r="B1208" s="47" t="str">
        <f t="shared" si="999"/>
        <v>日</v>
      </c>
      <c r="C1208" s="48">
        <f t="shared" si="1078"/>
        <v>2944</v>
      </c>
      <c r="D1208" s="84">
        <f t="shared" si="997"/>
        <v>168</v>
      </c>
      <c r="E1208" s="45">
        <f t="shared" si="998"/>
        <v>2579.000000000131</v>
      </c>
      <c r="F1208" s="45">
        <f t="shared" si="1079"/>
        <v>313</v>
      </c>
      <c r="G1208" s="79">
        <f t="shared" si="1080"/>
        <v>6004.000000000131</v>
      </c>
      <c r="H1208" s="199">
        <v>0</v>
      </c>
      <c r="I1208" s="199">
        <v>1729</v>
      </c>
      <c r="J1208" s="200">
        <f t="shared" si="1046"/>
        <v>1729</v>
      </c>
      <c r="K1208" s="201">
        <f t="shared" si="1047"/>
        <v>-4275.000000000131</v>
      </c>
      <c r="L1208" s="254">
        <v>140</v>
      </c>
      <c r="M1208" s="249">
        <v>0.625</v>
      </c>
      <c r="N1208" s="160">
        <v>198567</v>
      </c>
      <c r="O1208" s="160">
        <v>12460</v>
      </c>
      <c r="P1208" s="160">
        <v>9973</v>
      </c>
      <c r="Q1208" s="160"/>
      <c r="R1208" s="160">
        <v>42011</v>
      </c>
      <c r="S1208" s="161">
        <v>9800.7999999999993</v>
      </c>
      <c r="T1208" s="161"/>
      <c r="U1208" s="161"/>
      <c r="V1208" s="160">
        <v>284042</v>
      </c>
      <c r="W1208" s="160">
        <v>124236</v>
      </c>
      <c r="X1208" s="160">
        <v>104190</v>
      </c>
      <c r="Y1208" s="160">
        <v>92778</v>
      </c>
      <c r="Z1208" s="160">
        <v>198197</v>
      </c>
    </row>
    <row r="1209" spans="1:26" ht="18" hidden="1" customHeight="1" x14ac:dyDescent="0.2">
      <c r="A1209" s="47">
        <f t="shared" si="1042"/>
        <v>44060</v>
      </c>
      <c r="B1209" s="47" t="str">
        <f t="shared" si="999"/>
        <v>一</v>
      </c>
      <c r="C1209" s="48">
        <f t="shared" ref="C1209" si="1081">(V1210-V1209)*1+(W1210-W1209)*32+(X1210-X1209)*12+(Y1210-Y1209)*6</f>
        <v>2126</v>
      </c>
      <c r="D1209" s="84">
        <f t="shared" si="997"/>
        <v>1568</v>
      </c>
      <c r="E1209" s="45">
        <f t="shared" si="998"/>
        <v>1175</v>
      </c>
      <c r="F1209" s="45">
        <f t="shared" ref="F1209" si="1082">(Z1210-Z1209)*1</f>
        <v>97</v>
      </c>
      <c r="G1209" s="79">
        <f t="shared" ref="G1209" si="1083">C1209+D1209+F1209+E1209</f>
        <v>4966</v>
      </c>
      <c r="H1209" s="199">
        <v>3513</v>
      </c>
      <c r="I1209" s="199">
        <v>433</v>
      </c>
      <c r="J1209" s="200">
        <f t="shared" si="1046"/>
        <v>3946</v>
      </c>
      <c r="K1209" s="201">
        <f t="shared" si="1047"/>
        <v>-1020</v>
      </c>
      <c r="L1209" s="254">
        <v>346</v>
      </c>
      <c r="M1209" s="249">
        <v>0.65625</v>
      </c>
      <c r="N1209" s="235">
        <v>198577</v>
      </c>
      <c r="O1209" s="235">
        <v>12467</v>
      </c>
      <c r="P1209" s="235">
        <v>9984</v>
      </c>
      <c r="Q1209" s="235"/>
      <c r="R1209" s="235">
        <v>42094</v>
      </c>
      <c r="S1209" s="236">
        <v>9821.6</v>
      </c>
      <c r="T1209" s="236"/>
      <c r="U1209" s="236"/>
      <c r="V1209" s="235">
        <v>284590</v>
      </c>
      <c r="W1209" s="235">
        <v>124294</v>
      </c>
      <c r="X1209" s="235">
        <v>104235</v>
      </c>
      <c r="Y1209" s="235">
        <v>92778</v>
      </c>
      <c r="Z1209" s="235">
        <v>198510</v>
      </c>
    </row>
    <row r="1210" spans="1:26" ht="18" hidden="1" customHeight="1" x14ac:dyDescent="0.2">
      <c r="A1210" s="47">
        <f t="shared" si="1042"/>
        <v>44061</v>
      </c>
      <c r="B1210" s="47" t="str">
        <f t="shared" si="999"/>
        <v>二</v>
      </c>
      <c r="C1210" s="48">
        <f t="shared" ref="C1210" si="1084">(V1211-V1210)*1+(W1211-W1210)*32+(X1211-X1210)*12+(Y1211-Y1210)*6</f>
        <v>2286</v>
      </c>
      <c r="D1210" s="84">
        <f t="shared" si="997"/>
        <v>72</v>
      </c>
      <c r="E1210" s="45">
        <f t="shared" si="998"/>
        <v>821.00000000004366</v>
      </c>
      <c r="F1210" s="45">
        <f t="shared" ref="F1210" si="1085">(Z1211-Z1210)*1</f>
        <v>91</v>
      </c>
      <c r="G1210" s="79">
        <f t="shared" ref="G1210" si="1086">C1210+D1210+F1210+E1210</f>
        <v>3270.0000000000437</v>
      </c>
      <c r="H1210" s="199">
        <v>3564</v>
      </c>
      <c r="I1210" s="199">
        <v>662</v>
      </c>
      <c r="J1210" s="200">
        <f t="shared" si="1046"/>
        <v>4226</v>
      </c>
      <c r="K1210" s="201">
        <f t="shared" si="1047"/>
        <v>955.99999999995634</v>
      </c>
      <c r="L1210" s="254">
        <v>341</v>
      </c>
      <c r="M1210" s="249">
        <v>0.58333333333333337</v>
      </c>
      <c r="N1210" s="235">
        <v>198767</v>
      </c>
      <c r="O1210" s="235">
        <v>12601</v>
      </c>
      <c r="P1210" s="235">
        <v>9990</v>
      </c>
      <c r="Q1210" s="235"/>
      <c r="R1210" s="235">
        <v>42129</v>
      </c>
      <c r="S1210" s="236">
        <v>9831.1</v>
      </c>
      <c r="T1210" s="236"/>
      <c r="U1210" s="236"/>
      <c r="V1210" s="235">
        <v>284808</v>
      </c>
      <c r="W1210" s="235">
        <v>124333</v>
      </c>
      <c r="X1210" s="235">
        <v>104290</v>
      </c>
      <c r="Y1210" s="235">
        <v>92778</v>
      </c>
      <c r="Z1210" s="235">
        <v>198607</v>
      </c>
    </row>
    <row r="1211" spans="1:26" ht="18" hidden="1" customHeight="1" x14ac:dyDescent="0.2">
      <c r="A1211" s="47">
        <f t="shared" si="1042"/>
        <v>44062</v>
      </c>
      <c r="B1211" s="47" t="str">
        <f t="shared" si="999"/>
        <v>三</v>
      </c>
      <c r="C1211" s="48">
        <f t="shared" ref="C1211" si="1087">(V1212-V1211)*1+(W1212-W1211)*32+(X1212-X1211)*12+(Y1212-Y1211)*6</f>
        <v>2401</v>
      </c>
      <c r="D1211" s="84">
        <f t="shared" si="997"/>
        <v>640</v>
      </c>
      <c r="E1211" s="45">
        <f t="shared" si="998"/>
        <v>748</v>
      </c>
      <c r="F1211" s="45">
        <f t="shared" ref="F1211" si="1088">(Z1212-Z1211)*1</f>
        <v>92</v>
      </c>
      <c r="G1211" s="79">
        <f t="shared" ref="G1211" si="1089">C1211+D1211+F1211+E1211</f>
        <v>3881</v>
      </c>
      <c r="H1211" s="199">
        <v>3498</v>
      </c>
      <c r="I1211" s="199">
        <v>601</v>
      </c>
      <c r="J1211" s="200">
        <f t="shared" si="1046"/>
        <v>4099</v>
      </c>
      <c r="K1211" s="201">
        <f t="shared" si="1047"/>
        <v>218</v>
      </c>
      <c r="L1211" s="254">
        <v>334</v>
      </c>
      <c r="M1211" s="249">
        <v>0.47916666666666669</v>
      </c>
      <c r="N1211" s="235">
        <v>198767</v>
      </c>
      <c r="O1211" s="235">
        <v>12631</v>
      </c>
      <c r="P1211" s="235">
        <v>9999</v>
      </c>
      <c r="Q1211" s="235"/>
      <c r="R1211" s="235">
        <v>42158</v>
      </c>
      <c r="S1211" s="236">
        <v>9837.7000000000007</v>
      </c>
      <c r="T1211" s="236"/>
      <c r="U1211" s="236"/>
      <c r="V1211" s="235">
        <v>285022</v>
      </c>
      <c r="W1211" s="235">
        <v>124373</v>
      </c>
      <c r="X1211" s="235">
        <v>104356</v>
      </c>
      <c r="Y1211" s="235">
        <v>92778</v>
      </c>
      <c r="Z1211" s="235">
        <v>198698</v>
      </c>
    </row>
    <row r="1212" spans="1:26" ht="18" hidden="1" customHeight="1" x14ac:dyDescent="0.2">
      <c r="A1212" s="47">
        <f t="shared" si="1042"/>
        <v>44063</v>
      </c>
      <c r="B1212" s="47" t="str">
        <f t="shared" si="999"/>
        <v>四</v>
      </c>
      <c r="C1212" s="48">
        <f t="shared" ref="C1212" si="1090">(V1213-V1212)*1+(W1213-W1212)*32+(X1213-X1212)*12+(Y1213-Y1212)*6</f>
        <v>1980</v>
      </c>
      <c r="D1212" s="84">
        <f t="shared" si="997"/>
        <v>760</v>
      </c>
      <c r="E1212" s="45">
        <f t="shared" si="998"/>
        <v>686</v>
      </c>
      <c r="F1212" s="45">
        <f t="shared" ref="F1212" si="1091">(Z1213-Z1212)*1</f>
        <v>96</v>
      </c>
      <c r="G1212" s="79">
        <f t="shared" ref="G1212" si="1092">C1212+D1212+F1212+E1212</f>
        <v>3522</v>
      </c>
      <c r="H1212" s="199">
        <v>3047</v>
      </c>
      <c r="I1212" s="199">
        <v>609</v>
      </c>
      <c r="J1212" s="200">
        <f t="shared" si="1046"/>
        <v>3656</v>
      </c>
      <c r="K1212" s="201">
        <f t="shared" si="1047"/>
        <v>134</v>
      </c>
      <c r="L1212" s="254">
        <v>327</v>
      </c>
      <c r="M1212" s="249">
        <v>0.45833333333333331</v>
      </c>
      <c r="N1212" s="235">
        <v>198837</v>
      </c>
      <c r="O1212" s="235">
        <v>12561</v>
      </c>
      <c r="P1212" s="235">
        <v>10009</v>
      </c>
      <c r="Q1212" s="235"/>
      <c r="R1212" s="235">
        <v>42186</v>
      </c>
      <c r="S1212" s="236">
        <v>9843.7000000000007</v>
      </c>
      <c r="T1212" s="236"/>
      <c r="U1212" s="236"/>
      <c r="V1212" s="235">
        <v>285243</v>
      </c>
      <c r="W1212" s="235">
        <v>124416</v>
      </c>
      <c r="X1212" s="235">
        <v>104423</v>
      </c>
      <c r="Y1212" s="235">
        <v>92778</v>
      </c>
      <c r="Z1212" s="235">
        <v>198790</v>
      </c>
    </row>
    <row r="1213" spans="1:26" ht="18" hidden="1" customHeight="1" x14ac:dyDescent="0.2">
      <c r="A1213" s="47">
        <f t="shared" si="1042"/>
        <v>44064</v>
      </c>
      <c r="B1213" s="47" t="str">
        <f t="shared" si="999"/>
        <v>五</v>
      </c>
      <c r="C1213" s="48">
        <f t="shared" ref="C1213:C1215" si="1093">(V1214-V1213)*1+(W1214-W1213)*32+(X1214-X1213)*12+(Y1214-Y1213)*6</f>
        <v>0</v>
      </c>
      <c r="D1213" s="84">
        <f t="shared" si="997"/>
        <v>0</v>
      </c>
      <c r="E1213" s="45">
        <f t="shared" si="998"/>
        <v>0</v>
      </c>
      <c r="F1213" s="45">
        <f t="shared" ref="F1213:F1215" si="1094">(Z1214-Z1213)*1</f>
        <v>0</v>
      </c>
      <c r="G1213" s="79">
        <f t="shared" ref="G1213:G1215" si="1095">C1213+D1213+F1213+E1213</f>
        <v>0</v>
      </c>
      <c r="H1213" s="199">
        <v>2854</v>
      </c>
      <c r="I1213" s="199">
        <v>600</v>
      </c>
      <c r="J1213" s="200">
        <f t="shared" si="1046"/>
        <v>3454</v>
      </c>
      <c r="K1213" s="201">
        <f t="shared" si="1047"/>
        <v>3454</v>
      </c>
      <c r="L1213" s="254">
        <v>311</v>
      </c>
      <c r="M1213" s="249">
        <v>0.61458333333333337</v>
      </c>
      <c r="N1213" s="235">
        <v>198927</v>
      </c>
      <c r="O1213" s="235">
        <v>12590</v>
      </c>
      <c r="P1213" s="235">
        <v>10014</v>
      </c>
      <c r="Q1213" s="235"/>
      <c r="R1213" s="235">
        <v>42212</v>
      </c>
      <c r="S1213" s="236">
        <v>9849.2000000000007</v>
      </c>
      <c r="T1213" s="236"/>
      <c r="U1213" s="236"/>
      <c r="V1213" s="235">
        <v>285463</v>
      </c>
      <c r="W1213" s="235">
        <v>124453</v>
      </c>
      <c r="X1213" s="235">
        <v>104471</v>
      </c>
      <c r="Y1213" s="235">
        <v>92778</v>
      </c>
      <c r="Z1213" s="235">
        <v>198886</v>
      </c>
    </row>
    <row r="1214" spans="1:26" ht="18" hidden="1" customHeight="1" x14ac:dyDescent="0.2">
      <c r="A1214" s="47">
        <f t="shared" si="1042"/>
        <v>44065</v>
      </c>
      <c r="B1214" s="47" t="str">
        <f t="shared" si="999"/>
        <v>六</v>
      </c>
      <c r="C1214" s="48">
        <f t="shared" si="1093"/>
        <v>0</v>
      </c>
      <c r="D1214" s="84">
        <f t="shared" si="997"/>
        <v>0</v>
      </c>
      <c r="E1214" s="45">
        <f t="shared" si="998"/>
        <v>0</v>
      </c>
      <c r="F1214" s="45">
        <f t="shared" si="1094"/>
        <v>0</v>
      </c>
      <c r="G1214" s="79">
        <f t="shared" si="1095"/>
        <v>0</v>
      </c>
      <c r="H1214" s="199">
        <v>0</v>
      </c>
      <c r="I1214" s="199">
        <f>1646+539</f>
        <v>2185</v>
      </c>
      <c r="J1214" s="200">
        <f t="shared" si="1046"/>
        <v>2185</v>
      </c>
      <c r="K1214" s="201">
        <f t="shared" si="1047"/>
        <v>2185</v>
      </c>
      <c r="L1214" s="254">
        <v>159</v>
      </c>
      <c r="M1214" s="249">
        <v>0.46875</v>
      </c>
      <c r="N1214" s="153">
        <v>198927</v>
      </c>
      <c r="O1214" s="153">
        <v>12590</v>
      </c>
      <c r="P1214" s="153">
        <v>10014</v>
      </c>
      <c r="Q1214" s="153"/>
      <c r="R1214" s="153">
        <v>42212</v>
      </c>
      <c r="S1214" s="154">
        <v>9849.2000000000007</v>
      </c>
      <c r="T1214" s="154"/>
      <c r="U1214" s="154"/>
      <c r="V1214" s="153">
        <v>285463</v>
      </c>
      <c r="W1214" s="153">
        <v>124453</v>
      </c>
      <c r="X1214" s="153">
        <v>104471</v>
      </c>
      <c r="Y1214" s="153">
        <v>92778</v>
      </c>
      <c r="Z1214" s="153">
        <v>198886</v>
      </c>
    </row>
    <row r="1215" spans="1:26" ht="18" hidden="1" customHeight="1" x14ac:dyDescent="0.2">
      <c r="A1215" s="47">
        <f t="shared" si="1042"/>
        <v>44066</v>
      </c>
      <c r="B1215" s="47" t="str">
        <f t="shared" si="999"/>
        <v>日</v>
      </c>
      <c r="C1215" s="48">
        <f t="shared" si="1093"/>
        <v>2602</v>
      </c>
      <c r="D1215" s="84">
        <f t="shared" si="997"/>
        <v>2160</v>
      </c>
      <c r="E1215" s="45">
        <f t="shared" si="998"/>
        <v>2571.999999999869</v>
      </c>
      <c r="F1215" s="45">
        <f t="shared" si="1094"/>
        <v>239</v>
      </c>
      <c r="G1215" s="79">
        <f t="shared" si="1095"/>
        <v>7572.999999999869</v>
      </c>
      <c r="H1215" s="199">
        <v>0</v>
      </c>
      <c r="I1215" s="199">
        <v>2309</v>
      </c>
      <c r="J1215" s="200">
        <f t="shared" si="1046"/>
        <v>2309</v>
      </c>
      <c r="K1215" s="201">
        <f t="shared" si="1047"/>
        <v>-5263.999999999869</v>
      </c>
      <c r="L1215" s="254">
        <v>162</v>
      </c>
      <c r="M1215" s="249">
        <v>0.47916666666666669</v>
      </c>
      <c r="N1215" s="153">
        <v>198927</v>
      </c>
      <c r="O1215" s="153">
        <v>12590</v>
      </c>
      <c r="P1215" s="153">
        <v>10014</v>
      </c>
      <c r="Q1215" s="153"/>
      <c r="R1215" s="153">
        <v>42212</v>
      </c>
      <c r="S1215" s="154">
        <v>9849.2000000000007</v>
      </c>
      <c r="T1215" s="154"/>
      <c r="U1215" s="154"/>
      <c r="V1215" s="153">
        <v>285463</v>
      </c>
      <c r="W1215" s="153">
        <v>124453</v>
      </c>
      <c r="X1215" s="153">
        <v>104471</v>
      </c>
      <c r="Y1215" s="153">
        <v>92778</v>
      </c>
      <c r="Z1215" s="153">
        <v>198886</v>
      </c>
    </row>
    <row r="1216" spans="1:26" ht="18" hidden="1" customHeight="1" x14ac:dyDescent="0.2">
      <c r="A1216" s="47">
        <f t="shared" si="1042"/>
        <v>44067</v>
      </c>
      <c r="B1216" s="47" t="str">
        <f t="shared" si="999"/>
        <v>一</v>
      </c>
      <c r="C1216" s="48">
        <f t="shared" ref="C1216" si="1096">(V1217-V1216)*1+(W1217-W1216)*32+(X1217-X1216)*12+(Y1217-Y1216)*6</f>
        <v>1882</v>
      </c>
      <c r="D1216" s="84">
        <f t="shared" si="997"/>
        <v>1584</v>
      </c>
      <c r="E1216" s="45">
        <f t="shared" si="998"/>
        <v>944.00000000004366</v>
      </c>
      <c r="F1216" s="45">
        <f t="shared" ref="F1216" si="1097">(Z1217-Z1216)*1</f>
        <v>97</v>
      </c>
      <c r="G1216" s="79">
        <f t="shared" ref="G1216" si="1098">C1216+D1216+F1216+E1216</f>
        <v>4507.0000000000437</v>
      </c>
      <c r="H1216" s="199">
        <v>3222</v>
      </c>
      <c r="I1216" s="199">
        <v>583</v>
      </c>
      <c r="J1216" s="200">
        <f t="shared" si="1046"/>
        <v>3805</v>
      </c>
      <c r="K1216" s="201">
        <f t="shared" si="1047"/>
        <v>-702.00000000004366</v>
      </c>
      <c r="L1216" s="254">
        <v>346</v>
      </c>
      <c r="M1216" s="249">
        <v>0.69791666666666663</v>
      </c>
      <c r="N1216" s="235">
        <v>199177</v>
      </c>
      <c r="O1216" s="235">
        <v>12686</v>
      </c>
      <c r="P1216" s="235">
        <v>10034</v>
      </c>
      <c r="Q1216" s="235"/>
      <c r="R1216" s="235">
        <v>42300</v>
      </c>
      <c r="S1216" s="236">
        <v>9869.9</v>
      </c>
      <c r="T1216" s="236"/>
      <c r="U1216" s="236"/>
      <c r="V1216" s="235">
        <v>285949</v>
      </c>
      <c r="W1216" s="235">
        <v>124509</v>
      </c>
      <c r="X1216" s="235">
        <v>104498</v>
      </c>
      <c r="Y1216" s="235">
        <v>92778</v>
      </c>
      <c r="Z1216" s="235">
        <v>199125</v>
      </c>
    </row>
    <row r="1217" spans="1:26" ht="18" hidden="1" customHeight="1" x14ac:dyDescent="0.2">
      <c r="A1217" s="47">
        <f t="shared" si="1042"/>
        <v>44068</v>
      </c>
      <c r="B1217" s="47" t="str">
        <f t="shared" si="999"/>
        <v>二</v>
      </c>
      <c r="C1217" s="48">
        <f t="shared" ref="C1217" si="1099">(V1218-V1217)*1+(W1218-W1217)*32+(X1218-X1217)*12+(Y1218-Y1217)*6</f>
        <v>2086</v>
      </c>
      <c r="D1217" s="84">
        <f t="shared" si="997"/>
        <v>64</v>
      </c>
      <c r="E1217" s="45">
        <f t="shared" si="998"/>
        <v>764.00000000008731</v>
      </c>
      <c r="F1217" s="45">
        <f t="shared" ref="F1217" si="1100">(Z1218-Z1217)*1</f>
        <v>85</v>
      </c>
      <c r="G1217" s="79">
        <f t="shared" ref="G1217" si="1101">C1217+D1217+F1217+E1217</f>
        <v>2999.0000000000873</v>
      </c>
      <c r="H1217" s="199">
        <v>3197</v>
      </c>
      <c r="I1217" s="199">
        <v>680</v>
      </c>
      <c r="J1217" s="200">
        <f t="shared" si="1046"/>
        <v>3877</v>
      </c>
      <c r="K1217" s="201">
        <f t="shared" si="1047"/>
        <v>877.99999999991269</v>
      </c>
      <c r="L1217" s="254">
        <v>351</v>
      </c>
      <c r="M1217" s="249">
        <v>0.4375</v>
      </c>
      <c r="N1217" s="235">
        <v>199367</v>
      </c>
      <c r="O1217" s="235">
        <v>12721</v>
      </c>
      <c r="P1217" s="235">
        <v>10042</v>
      </c>
      <c r="Q1217" s="235"/>
      <c r="R1217" s="235">
        <v>42332</v>
      </c>
      <c r="S1217" s="236">
        <v>9877.5</v>
      </c>
      <c r="T1217" s="236"/>
      <c r="U1217" s="236"/>
      <c r="V1217" s="235">
        <v>286183</v>
      </c>
      <c r="W1217" s="235">
        <v>124544</v>
      </c>
      <c r="X1217" s="235">
        <v>104542</v>
      </c>
      <c r="Y1217" s="235">
        <v>92778</v>
      </c>
      <c r="Z1217" s="235">
        <v>199222</v>
      </c>
    </row>
    <row r="1218" spans="1:26" ht="18" hidden="1" customHeight="1" x14ac:dyDescent="0.2">
      <c r="A1218" s="47">
        <f t="shared" si="1042"/>
        <v>44069</v>
      </c>
      <c r="B1218" s="47" t="str">
        <f t="shared" si="999"/>
        <v>三</v>
      </c>
      <c r="C1218" s="48">
        <f t="shared" ref="C1218" si="1102">(V1219-V1218)*1+(W1219-W1218)*32+(X1219-X1218)*12+(Y1219-Y1218)*6</f>
        <v>2105</v>
      </c>
      <c r="D1218" s="84">
        <f t="shared" si="997"/>
        <v>696</v>
      </c>
      <c r="E1218" s="45">
        <f t="shared" si="998"/>
        <v>660.99999999986903</v>
      </c>
      <c r="F1218" s="45">
        <f t="shared" ref="F1218" si="1103">(Z1219-Z1218)*1</f>
        <v>108</v>
      </c>
      <c r="G1218" s="79">
        <f t="shared" ref="G1218" si="1104">C1218+D1218+F1218+E1218</f>
        <v>3569.999999999869</v>
      </c>
      <c r="H1218" s="199">
        <v>3033</v>
      </c>
      <c r="I1218" s="199">
        <v>681</v>
      </c>
      <c r="J1218" s="200">
        <f t="shared" si="1046"/>
        <v>3714</v>
      </c>
      <c r="K1218" s="201">
        <f t="shared" si="1047"/>
        <v>144.00000000013097</v>
      </c>
      <c r="L1218" s="254">
        <v>346</v>
      </c>
      <c r="M1218" s="249">
        <v>0.44791666666666669</v>
      </c>
      <c r="N1218" s="235">
        <v>199367</v>
      </c>
      <c r="O1218" s="235">
        <v>12756</v>
      </c>
      <c r="P1218" s="235">
        <v>10050</v>
      </c>
      <c r="Q1218" s="235"/>
      <c r="R1218" s="235">
        <v>42352</v>
      </c>
      <c r="S1218" s="236">
        <v>9883.7000000000007</v>
      </c>
      <c r="T1218" s="236"/>
      <c r="U1218" s="236"/>
      <c r="V1218" s="235">
        <v>286409</v>
      </c>
      <c r="W1218" s="235">
        <v>124583</v>
      </c>
      <c r="X1218" s="235">
        <v>104593</v>
      </c>
      <c r="Y1218" s="235">
        <v>92778</v>
      </c>
      <c r="Z1218" s="235">
        <v>199307</v>
      </c>
    </row>
    <row r="1219" spans="1:26" ht="18" hidden="1" customHeight="1" x14ac:dyDescent="0.2">
      <c r="A1219" s="47">
        <f t="shared" si="1042"/>
        <v>44070</v>
      </c>
      <c r="B1219" s="47" t="str">
        <f t="shared" si="999"/>
        <v>四</v>
      </c>
      <c r="C1219" s="48">
        <f t="shared" ref="C1219" si="1105">(V1220-V1219)*1+(W1220-W1219)*32+(X1220-X1219)*12+(Y1220-Y1219)*6</f>
        <v>1719</v>
      </c>
      <c r="D1219" s="84">
        <f t="shared" si="997"/>
        <v>864</v>
      </c>
      <c r="E1219" s="45">
        <f t="shared" si="998"/>
        <v>688</v>
      </c>
      <c r="F1219" s="45">
        <f t="shared" ref="F1219" si="1106">(Z1220-Z1219)*1</f>
        <v>89</v>
      </c>
      <c r="G1219" s="79">
        <f t="shared" ref="G1219" si="1107">C1219+D1219+F1219+E1219</f>
        <v>3360</v>
      </c>
      <c r="H1219" s="199">
        <v>2893</v>
      </c>
      <c r="I1219" s="199">
        <v>646</v>
      </c>
      <c r="J1219" s="200">
        <f t="shared" si="1046"/>
        <v>3539</v>
      </c>
      <c r="K1219" s="201">
        <f t="shared" si="1047"/>
        <v>179</v>
      </c>
      <c r="L1219" s="254">
        <v>341</v>
      </c>
      <c r="M1219" s="249">
        <v>0.47916666666666669</v>
      </c>
      <c r="N1219" s="235">
        <v>199447</v>
      </c>
      <c r="O1219" s="235">
        <v>12788</v>
      </c>
      <c r="P1219" s="235">
        <v>10057</v>
      </c>
      <c r="Q1219" s="235"/>
      <c r="R1219" s="235">
        <v>42389</v>
      </c>
      <c r="S1219" s="236">
        <v>9888.9</v>
      </c>
      <c r="T1219" s="236"/>
      <c r="U1219" s="236"/>
      <c r="V1219" s="235">
        <v>286630</v>
      </c>
      <c r="W1219" s="235">
        <v>124622</v>
      </c>
      <c r="X1219" s="235">
        <v>104646</v>
      </c>
      <c r="Y1219" s="235">
        <v>92778</v>
      </c>
      <c r="Z1219" s="235">
        <v>199415</v>
      </c>
    </row>
    <row r="1220" spans="1:26" ht="18" hidden="1" customHeight="1" x14ac:dyDescent="0.2">
      <c r="A1220" s="47">
        <f t="shared" si="1042"/>
        <v>44071</v>
      </c>
      <c r="B1220" s="47" t="str">
        <f t="shared" si="999"/>
        <v>五</v>
      </c>
      <c r="C1220" s="48">
        <f t="shared" ref="C1220:C1222" si="1108">(V1221-V1220)*1+(W1221-W1220)*32+(X1221-X1220)*12+(Y1221-Y1220)*6</f>
        <v>0</v>
      </c>
      <c r="D1220" s="84">
        <f t="shared" si="997"/>
        <v>0</v>
      </c>
      <c r="E1220" s="45">
        <f t="shared" si="998"/>
        <v>0</v>
      </c>
      <c r="F1220" s="45">
        <f t="shared" ref="F1220:F1222" si="1109">(Z1221-Z1220)*1</f>
        <v>0</v>
      </c>
      <c r="G1220" s="79">
        <f t="shared" ref="G1220:G1222" si="1110">C1220+D1220+F1220+E1220</f>
        <v>0</v>
      </c>
      <c r="H1220" s="199">
        <v>3121</v>
      </c>
      <c r="I1220" s="199">
        <v>635</v>
      </c>
      <c r="J1220" s="200">
        <f t="shared" si="1046"/>
        <v>3756</v>
      </c>
      <c r="K1220" s="201">
        <f t="shared" si="1047"/>
        <v>3756</v>
      </c>
      <c r="L1220" s="254">
        <v>326</v>
      </c>
      <c r="M1220" s="249">
        <v>0.38541666666666669</v>
      </c>
      <c r="N1220" s="235">
        <v>199547</v>
      </c>
      <c r="O1220" s="235">
        <v>12822</v>
      </c>
      <c r="P1220" s="235">
        <v>10065</v>
      </c>
      <c r="Q1220" s="235"/>
      <c r="R1220" s="235">
        <v>42417</v>
      </c>
      <c r="S1220" s="236">
        <v>9894.4</v>
      </c>
      <c r="T1220" s="236"/>
      <c r="U1220" s="236"/>
      <c r="V1220" s="235">
        <v>286833</v>
      </c>
      <c r="W1220" s="235">
        <v>124657</v>
      </c>
      <c r="X1220" s="235">
        <v>104679</v>
      </c>
      <c r="Y1220" s="235">
        <v>92778</v>
      </c>
      <c r="Z1220" s="235">
        <v>199504</v>
      </c>
    </row>
    <row r="1221" spans="1:26" ht="18" hidden="1" customHeight="1" x14ac:dyDescent="0.2">
      <c r="A1221" s="47">
        <f t="shared" si="1042"/>
        <v>44072</v>
      </c>
      <c r="B1221" s="47" t="str">
        <f t="shared" si="999"/>
        <v>六</v>
      </c>
      <c r="C1221" s="48">
        <f t="shared" si="1108"/>
        <v>0</v>
      </c>
      <c r="D1221" s="84">
        <f t="shared" si="997"/>
        <v>0</v>
      </c>
      <c r="E1221" s="45">
        <f t="shared" si="998"/>
        <v>0</v>
      </c>
      <c r="F1221" s="45">
        <f t="shared" si="1109"/>
        <v>0</v>
      </c>
      <c r="G1221" s="79">
        <f t="shared" si="1110"/>
        <v>0</v>
      </c>
      <c r="H1221" s="199">
        <v>0</v>
      </c>
      <c r="I1221" s="199">
        <f>1173+492</f>
        <v>1665</v>
      </c>
      <c r="J1221" s="200">
        <f t="shared" si="1046"/>
        <v>1665</v>
      </c>
      <c r="K1221" s="201">
        <f t="shared" si="1047"/>
        <v>1665</v>
      </c>
      <c r="L1221" s="254">
        <v>130</v>
      </c>
      <c r="M1221" s="249">
        <v>0.4375</v>
      </c>
      <c r="N1221" s="153">
        <v>199547</v>
      </c>
      <c r="O1221" s="153">
        <v>12822</v>
      </c>
      <c r="P1221" s="153">
        <v>10065</v>
      </c>
      <c r="Q1221" s="153"/>
      <c r="R1221" s="153">
        <v>42417</v>
      </c>
      <c r="S1221" s="154">
        <v>9894.4</v>
      </c>
      <c r="T1221" s="154"/>
      <c r="U1221" s="154"/>
      <c r="V1221" s="153">
        <v>286833</v>
      </c>
      <c r="W1221" s="153">
        <v>124657</v>
      </c>
      <c r="X1221" s="153">
        <v>104679</v>
      </c>
      <c r="Y1221" s="153">
        <v>92778</v>
      </c>
      <c r="Z1221" s="153">
        <v>199504</v>
      </c>
    </row>
    <row r="1222" spans="1:26" ht="18" hidden="1" customHeight="1" x14ac:dyDescent="0.2">
      <c r="A1222" s="47">
        <f t="shared" si="1042"/>
        <v>44073</v>
      </c>
      <c r="B1222" s="47" t="str">
        <f t="shared" si="999"/>
        <v>日</v>
      </c>
      <c r="C1222" s="48">
        <f t="shared" si="1108"/>
        <v>2985</v>
      </c>
      <c r="D1222" s="84">
        <f t="shared" si="997"/>
        <v>832</v>
      </c>
      <c r="E1222" s="45">
        <f t="shared" si="998"/>
        <v>2342.000000000131</v>
      </c>
      <c r="F1222" s="45">
        <f t="shared" si="1109"/>
        <v>218</v>
      </c>
      <c r="G1222" s="79">
        <f t="shared" si="1110"/>
        <v>6377.000000000131</v>
      </c>
      <c r="H1222" s="199">
        <v>0</v>
      </c>
      <c r="I1222" s="199">
        <v>1549</v>
      </c>
      <c r="J1222" s="200">
        <f t="shared" si="1046"/>
        <v>1549</v>
      </c>
      <c r="K1222" s="201">
        <f t="shared" si="1047"/>
        <v>-4828.000000000131</v>
      </c>
      <c r="L1222" s="254">
        <v>140</v>
      </c>
      <c r="M1222" s="249">
        <v>0.625</v>
      </c>
      <c r="N1222" s="153">
        <v>199547</v>
      </c>
      <c r="O1222" s="153">
        <v>12822</v>
      </c>
      <c r="P1222" s="153">
        <v>10065</v>
      </c>
      <c r="Q1222" s="153"/>
      <c r="R1222" s="153">
        <v>42417</v>
      </c>
      <c r="S1222" s="154">
        <v>9894.4</v>
      </c>
      <c r="T1222" s="154"/>
      <c r="U1222" s="154"/>
      <c r="V1222" s="153">
        <v>286833</v>
      </c>
      <c r="W1222" s="153">
        <v>124657</v>
      </c>
      <c r="X1222" s="153">
        <v>104679</v>
      </c>
      <c r="Y1222" s="153">
        <v>92778</v>
      </c>
      <c r="Z1222" s="153">
        <v>199504</v>
      </c>
    </row>
    <row r="1223" spans="1:26" ht="18" hidden="1" customHeight="1" x14ac:dyDescent="0.2">
      <c r="A1223" s="47">
        <f t="shared" si="1042"/>
        <v>44074</v>
      </c>
      <c r="B1223" s="47" t="str">
        <f t="shared" si="999"/>
        <v>一</v>
      </c>
      <c r="C1223" s="48">
        <f t="shared" ref="C1223" si="1111">(V1224-V1223)*1+(W1224-W1223)*32+(X1224-X1223)*12+(Y1224-Y1223)*6</f>
        <v>2637</v>
      </c>
      <c r="D1223" s="84">
        <f t="shared" si="997"/>
        <v>784</v>
      </c>
      <c r="E1223" s="45">
        <f t="shared" si="998"/>
        <v>932</v>
      </c>
      <c r="F1223" s="45">
        <f t="shared" ref="F1223" si="1112">(Z1224-Z1223)*1</f>
        <v>97</v>
      </c>
      <c r="G1223" s="79">
        <f t="shared" ref="G1223" si="1113">C1223+D1223+F1223+E1223</f>
        <v>4450</v>
      </c>
      <c r="H1223" s="199">
        <v>3959</v>
      </c>
      <c r="I1223" s="199">
        <v>424</v>
      </c>
      <c r="J1223" s="200">
        <f t="shared" si="1046"/>
        <v>4383</v>
      </c>
      <c r="K1223" s="201">
        <f t="shared" si="1047"/>
        <v>-67</v>
      </c>
      <c r="L1223" s="254">
        <v>355</v>
      </c>
      <c r="M1223" s="249">
        <v>0.40625</v>
      </c>
      <c r="N1223" s="235">
        <v>199637</v>
      </c>
      <c r="O1223" s="235">
        <v>12852</v>
      </c>
      <c r="P1223" s="235">
        <v>10079</v>
      </c>
      <c r="Q1223" s="235"/>
      <c r="R1223" s="235">
        <v>42503</v>
      </c>
      <c r="S1223" s="236">
        <v>9913.2000000000007</v>
      </c>
      <c r="T1223" s="236"/>
      <c r="U1223" s="236"/>
      <c r="V1223" s="235">
        <v>287382</v>
      </c>
      <c r="W1223" s="235">
        <v>124717</v>
      </c>
      <c r="X1223" s="235">
        <v>104722</v>
      </c>
      <c r="Y1223" s="235">
        <v>92778</v>
      </c>
      <c r="Z1223" s="235">
        <v>199722</v>
      </c>
    </row>
    <row r="1224" spans="1:26" ht="18" hidden="1" customHeight="1" x14ac:dyDescent="0.2">
      <c r="A1224" s="47">
        <f t="shared" si="1042"/>
        <v>44075</v>
      </c>
      <c r="B1224" s="47" t="str">
        <f t="shared" si="999"/>
        <v>二</v>
      </c>
      <c r="C1224" s="48">
        <f t="shared" ref="C1224" si="1114">(V1225-V1224)*1+(W1225-W1224)*32+(X1225-X1224)*12+(Y1225-Y1224)*6</f>
        <v>2485</v>
      </c>
      <c r="D1224" s="84">
        <f t="shared" si="997"/>
        <v>880</v>
      </c>
      <c r="E1224" s="45">
        <f t="shared" si="998"/>
        <v>66.999999999956344</v>
      </c>
      <c r="F1224" s="45">
        <f t="shared" ref="F1224" si="1115">(Z1225-Z1224)*1</f>
        <v>82</v>
      </c>
      <c r="G1224" s="79">
        <f t="shared" ref="G1224" si="1116">C1224+D1224+F1224+E1224</f>
        <v>3513.9999999999563</v>
      </c>
      <c r="H1224" s="199">
        <v>2984</v>
      </c>
      <c r="I1224" s="199">
        <v>639</v>
      </c>
      <c r="J1224" s="200">
        <f t="shared" si="1046"/>
        <v>3623</v>
      </c>
      <c r="K1224" s="201">
        <f t="shared" si="1047"/>
        <v>109.00000000004366</v>
      </c>
      <c r="L1224" s="254">
        <v>256</v>
      </c>
      <c r="M1224" s="249">
        <v>0.38541666666666669</v>
      </c>
      <c r="N1224" s="235">
        <v>199727</v>
      </c>
      <c r="O1224" s="235">
        <v>12885</v>
      </c>
      <c r="P1224" s="235">
        <v>10087</v>
      </c>
      <c r="Q1224" s="235"/>
      <c r="R1224" s="235">
        <v>42535</v>
      </c>
      <c r="S1224" s="236">
        <v>9920.7000000000007</v>
      </c>
      <c r="T1224" s="236"/>
      <c r="U1224" s="236"/>
      <c r="V1224" s="235">
        <v>287595</v>
      </c>
      <c r="W1224" s="235">
        <v>124765</v>
      </c>
      <c r="X1224" s="235">
        <v>104796</v>
      </c>
      <c r="Y1224" s="235">
        <v>92778</v>
      </c>
      <c r="Z1224" s="235">
        <v>199819</v>
      </c>
    </row>
    <row r="1225" spans="1:26" ht="18" hidden="1" customHeight="1" x14ac:dyDescent="0.2">
      <c r="A1225" s="47">
        <f t="shared" si="1042"/>
        <v>44076</v>
      </c>
      <c r="B1225" s="47" t="str">
        <f t="shared" si="999"/>
        <v>三</v>
      </c>
      <c r="C1225" s="48">
        <f t="shared" ref="C1225" si="1117">(V1226-V1225)*1+(W1226-W1225)*32+(X1226-X1225)*12+(Y1226-Y1225)*6</f>
        <v>2280</v>
      </c>
      <c r="D1225" s="84">
        <f t="shared" si="997"/>
        <v>864</v>
      </c>
      <c r="E1225" s="45">
        <f t="shared" si="998"/>
        <v>42.999999999869033</v>
      </c>
      <c r="F1225" s="45">
        <f t="shared" ref="F1225" si="1118">(Z1226-Z1225)*1</f>
        <v>111</v>
      </c>
      <c r="G1225" s="79">
        <f t="shared" ref="G1225" si="1119">C1225+D1225+F1225+E1225</f>
        <v>3297.999999999869</v>
      </c>
      <c r="H1225" s="199">
        <v>2860</v>
      </c>
      <c r="I1225" s="199">
        <v>634</v>
      </c>
      <c r="J1225" s="200">
        <f t="shared" si="1046"/>
        <v>3494</v>
      </c>
      <c r="K1225" s="201">
        <f t="shared" si="1047"/>
        <v>196.00000000013097</v>
      </c>
      <c r="L1225" s="254">
        <v>263</v>
      </c>
      <c r="M1225" s="249">
        <v>0.61458333333333337</v>
      </c>
      <c r="N1225" s="235">
        <v>199827</v>
      </c>
      <c r="O1225" s="235">
        <v>12924</v>
      </c>
      <c r="P1225" s="235">
        <v>10097</v>
      </c>
      <c r="Q1225" s="235"/>
      <c r="R1225" s="235">
        <v>42554</v>
      </c>
      <c r="S1225" s="236">
        <v>9921.1</v>
      </c>
      <c r="T1225" s="236"/>
      <c r="U1225" s="236"/>
      <c r="V1225" s="235">
        <v>287800</v>
      </c>
      <c r="W1225" s="235">
        <v>124810</v>
      </c>
      <c r="X1225" s="235">
        <v>104866</v>
      </c>
      <c r="Y1225" s="235">
        <v>92778</v>
      </c>
      <c r="Z1225" s="235">
        <v>199901</v>
      </c>
    </row>
    <row r="1226" spans="1:26" ht="18" hidden="1" customHeight="1" x14ac:dyDescent="0.2">
      <c r="A1226" s="47">
        <f t="shared" si="1042"/>
        <v>44077</v>
      </c>
      <c r="B1226" s="47" t="str">
        <f t="shared" si="999"/>
        <v>四</v>
      </c>
      <c r="C1226" s="48">
        <f t="shared" ref="C1226" si="1120">(V1227-V1226)*1+(W1227-W1226)*32+(X1227-X1226)*12+(Y1227-Y1226)*6</f>
        <v>2380</v>
      </c>
      <c r="D1226" s="84">
        <f t="shared" si="997"/>
        <v>744</v>
      </c>
      <c r="E1226" s="45">
        <f t="shared" si="998"/>
        <v>42.000000000087311</v>
      </c>
      <c r="F1226" s="45">
        <f t="shared" ref="F1226" si="1121">(Z1227-Z1226)*1</f>
        <v>104</v>
      </c>
      <c r="G1226" s="79">
        <f t="shared" ref="G1226" si="1122">C1226+D1226+F1226+E1226</f>
        <v>3270.0000000000873</v>
      </c>
      <c r="H1226" s="199">
        <v>2784</v>
      </c>
      <c r="I1226" s="199">
        <v>624</v>
      </c>
      <c r="J1226" s="200">
        <f t="shared" si="1046"/>
        <v>3408</v>
      </c>
      <c r="K1226" s="201">
        <f t="shared" si="1047"/>
        <v>137.99999999991269</v>
      </c>
      <c r="L1226" s="254">
        <v>251</v>
      </c>
      <c r="M1226" s="249">
        <v>0.48958333333333331</v>
      </c>
      <c r="N1226" s="235">
        <v>199927</v>
      </c>
      <c r="O1226" s="235">
        <v>12960</v>
      </c>
      <c r="P1226" s="235">
        <v>10105</v>
      </c>
      <c r="Q1226" s="235"/>
      <c r="R1226" s="235">
        <v>42573</v>
      </c>
      <c r="S1226" s="236">
        <v>9921.2999999999993</v>
      </c>
      <c r="T1226" s="236"/>
      <c r="U1226" s="236"/>
      <c r="V1226" s="235">
        <v>288024</v>
      </c>
      <c r="W1226" s="235">
        <v>124854</v>
      </c>
      <c r="X1226" s="235">
        <v>104920</v>
      </c>
      <c r="Y1226" s="235">
        <v>92778</v>
      </c>
      <c r="Z1226" s="235">
        <v>200012</v>
      </c>
    </row>
    <row r="1227" spans="1:26" ht="18" hidden="1" customHeight="1" x14ac:dyDescent="0.2">
      <c r="A1227" s="47">
        <f t="shared" si="1042"/>
        <v>44078</v>
      </c>
      <c r="B1227" s="47" t="str">
        <f t="shared" si="999"/>
        <v>五</v>
      </c>
      <c r="C1227" s="48">
        <f t="shared" ref="C1227:C1229" si="1123">(V1228-V1227)*1+(W1228-W1227)*32+(X1228-X1227)*12+(Y1228-Y1227)*6</f>
        <v>0</v>
      </c>
      <c r="D1227" s="84">
        <f t="shared" si="997"/>
        <v>0</v>
      </c>
      <c r="E1227" s="45">
        <f t="shared" si="998"/>
        <v>0</v>
      </c>
      <c r="F1227" s="45">
        <f t="shared" ref="F1227:F1229" si="1124">(Z1228-Z1227)*1</f>
        <v>0</v>
      </c>
      <c r="G1227" s="79">
        <f t="shared" ref="G1227:G1229" si="1125">C1227+D1227+F1227+E1227</f>
        <v>0</v>
      </c>
      <c r="H1227" s="199">
        <v>2349</v>
      </c>
      <c r="I1227" s="199">
        <v>616</v>
      </c>
      <c r="J1227" s="200">
        <f t="shared" si="1046"/>
        <v>2965</v>
      </c>
      <c r="K1227" s="201">
        <f t="shared" si="1047"/>
        <v>2965</v>
      </c>
      <c r="L1227" s="254">
        <v>242</v>
      </c>
      <c r="M1227" s="249">
        <v>0.45833333333333331</v>
      </c>
      <c r="N1227" s="235">
        <v>200007</v>
      </c>
      <c r="O1227" s="235">
        <v>12991</v>
      </c>
      <c r="P1227" s="235">
        <v>10118</v>
      </c>
      <c r="Q1227" s="235"/>
      <c r="R1227" s="235">
        <v>42591</v>
      </c>
      <c r="S1227" s="236">
        <v>9921.5</v>
      </c>
      <c r="T1227" s="236"/>
      <c r="U1227" s="236"/>
      <c r="V1227" s="235">
        <v>288240</v>
      </c>
      <c r="W1227" s="235">
        <v>124898</v>
      </c>
      <c r="X1227" s="235">
        <v>104983</v>
      </c>
      <c r="Y1227" s="235">
        <v>92778</v>
      </c>
      <c r="Z1227" s="235">
        <v>200116</v>
      </c>
    </row>
    <row r="1228" spans="1:26" ht="18" hidden="1" customHeight="1" x14ac:dyDescent="0.2">
      <c r="A1228" s="47">
        <f t="shared" si="1042"/>
        <v>44079</v>
      </c>
      <c r="B1228" s="47" t="str">
        <f t="shared" si="999"/>
        <v>六</v>
      </c>
      <c r="C1228" s="48">
        <f t="shared" si="1123"/>
        <v>0</v>
      </c>
      <c r="D1228" s="84">
        <f t="shared" si="997"/>
        <v>0</v>
      </c>
      <c r="E1228" s="45">
        <f t="shared" si="998"/>
        <v>0</v>
      </c>
      <c r="F1228" s="45">
        <f t="shared" si="1124"/>
        <v>0</v>
      </c>
      <c r="G1228" s="79">
        <f t="shared" si="1125"/>
        <v>0</v>
      </c>
      <c r="H1228" s="199">
        <v>0</v>
      </c>
      <c r="I1228" s="199">
        <f>902+525</f>
        <v>1427</v>
      </c>
      <c r="J1228" s="200">
        <f t="shared" si="1046"/>
        <v>1427</v>
      </c>
      <c r="K1228" s="201">
        <f t="shared" si="1047"/>
        <v>1427</v>
      </c>
      <c r="L1228" s="254">
        <v>67</v>
      </c>
      <c r="M1228" s="249">
        <v>0.86458333333333337</v>
      </c>
      <c r="N1228" s="153">
        <v>200007</v>
      </c>
      <c r="O1228" s="153">
        <v>12991</v>
      </c>
      <c r="P1228" s="153">
        <v>10118</v>
      </c>
      <c r="Q1228" s="153"/>
      <c r="R1228" s="153">
        <v>42591</v>
      </c>
      <c r="S1228" s="154">
        <v>9921.5</v>
      </c>
      <c r="T1228" s="154"/>
      <c r="U1228" s="154"/>
      <c r="V1228" s="153">
        <v>288240</v>
      </c>
      <c r="W1228" s="153">
        <v>124898</v>
      </c>
      <c r="X1228" s="153">
        <v>104983</v>
      </c>
      <c r="Y1228" s="153">
        <v>92778</v>
      </c>
      <c r="Z1228" s="153">
        <v>200116</v>
      </c>
    </row>
    <row r="1229" spans="1:26" ht="18" hidden="1" customHeight="1" x14ac:dyDescent="0.2">
      <c r="A1229" s="47">
        <f t="shared" si="1042"/>
        <v>44080</v>
      </c>
      <c r="B1229" s="47" t="str">
        <f t="shared" si="999"/>
        <v>日</v>
      </c>
      <c r="C1229" s="48">
        <f t="shared" si="1123"/>
        <v>2857</v>
      </c>
      <c r="D1229" s="84">
        <f t="shared" si="997"/>
        <v>2104</v>
      </c>
      <c r="E1229" s="45">
        <f t="shared" si="998"/>
        <v>116</v>
      </c>
      <c r="F1229" s="45">
        <f t="shared" si="1124"/>
        <v>239</v>
      </c>
      <c r="G1229" s="79">
        <f t="shared" si="1125"/>
        <v>5316</v>
      </c>
      <c r="H1229" s="199">
        <v>0</v>
      </c>
      <c r="I1229" s="199">
        <v>1349</v>
      </c>
      <c r="J1229" s="200">
        <f t="shared" si="1046"/>
        <v>1349</v>
      </c>
      <c r="K1229" s="201">
        <f t="shared" si="1047"/>
        <v>-3967</v>
      </c>
      <c r="L1229" s="254">
        <v>64</v>
      </c>
      <c r="M1229" s="249">
        <v>0.97916666666666663</v>
      </c>
      <c r="N1229" s="153">
        <v>200007</v>
      </c>
      <c r="O1229" s="153">
        <v>12991</v>
      </c>
      <c r="P1229" s="153">
        <v>10118</v>
      </c>
      <c r="Q1229" s="153"/>
      <c r="R1229" s="153">
        <v>42591</v>
      </c>
      <c r="S1229" s="154">
        <v>9921.5</v>
      </c>
      <c r="T1229" s="154"/>
      <c r="U1229" s="154"/>
      <c r="V1229" s="153">
        <v>288240</v>
      </c>
      <c r="W1229" s="153">
        <v>124898</v>
      </c>
      <c r="X1229" s="153">
        <v>104983</v>
      </c>
      <c r="Y1229" s="153">
        <v>92778</v>
      </c>
      <c r="Z1229" s="153">
        <v>200116</v>
      </c>
    </row>
    <row r="1230" spans="1:26" ht="18" hidden="1" customHeight="1" x14ac:dyDescent="0.2">
      <c r="A1230" s="47">
        <f t="shared" si="1042"/>
        <v>44081</v>
      </c>
      <c r="B1230" s="47" t="str">
        <f t="shared" si="999"/>
        <v>一</v>
      </c>
      <c r="C1230" s="48">
        <f t="shared" ref="C1230" si="1126">(V1231-V1230)*1+(W1231-W1230)*32+(X1231-X1230)*12+(Y1231-Y1230)*6</f>
        <v>2567</v>
      </c>
      <c r="D1230" s="84">
        <f t="shared" si="997"/>
        <v>776</v>
      </c>
      <c r="E1230" s="45">
        <f t="shared" si="998"/>
        <v>45.000000000087311</v>
      </c>
      <c r="F1230" s="45">
        <f t="shared" ref="F1230" si="1127">(Z1231-Z1230)*1</f>
        <v>82</v>
      </c>
      <c r="G1230" s="79">
        <f t="shared" ref="G1230" si="1128">C1230+D1230+F1230+E1230</f>
        <v>3470.0000000000873</v>
      </c>
      <c r="H1230" s="199">
        <v>3009</v>
      </c>
      <c r="I1230" s="199">
        <v>545</v>
      </c>
      <c r="J1230" s="200">
        <f t="shared" si="1046"/>
        <v>3554</v>
      </c>
      <c r="K1230" s="201">
        <f t="shared" si="1047"/>
        <v>83.999999999912689</v>
      </c>
      <c r="L1230" s="254">
        <v>263</v>
      </c>
      <c r="M1230" s="249" t="s">
        <v>174</v>
      </c>
      <c r="N1230" s="235">
        <v>200247</v>
      </c>
      <c r="O1230" s="235">
        <v>13080</v>
      </c>
      <c r="P1230" s="235">
        <v>10141</v>
      </c>
      <c r="Q1230" s="235"/>
      <c r="R1230" s="235">
        <v>42647</v>
      </c>
      <c r="S1230" s="236">
        <v>9922</v>
      </c>
      <c r="T1230" s="236"/>
      <c r="U1230" s="236"/>
      <c r="V1230" s="235">
        <v>288693</v>
      </c>
      <c r="W1230" s="235">
        <v>124957</v>
      </c>
      <c r="X1230" s="235">
        <v>105026</v>
      </c>
      <c r="Y1230" s="235">
        <v>92778</v>
      </c>
      <c r="Z1230" s="235">
        <v>200355</v>
      </c>
    </row>
    <row r="1231" spans="1:26" ht="18" hidden="1" customHeight="1" x14ac:dyDescent="0.2">
      <c r="A1231" s="47">
        <f t="shared" si="1042"/>
        <v>44082</v>
      </c>
      <c r="B1231" s="47" t="str">
        <f t="shared" si="999"/>
        <v>二</v>
      </c>
      <c r="C1231" s="48">
        <f t="shared" ref="C1231" si="1129">(V1232-V1231)*1+(W1232-W1231)*32+(X1232-X1231)*12+(Y1232-Y1231)*6</f>
        <v>2488</v>
      </c>
      <c r="D1231" s="84">
        <f t="shared" si="997"/>
        <v>872</v>
      </c>
      <c r="E1231" s="45">
        <f t="shared" si="998"/>
        <v>51.999999999912689</v>
      </c>
      <c r="F1231" s="45">
        <f t="shared" ref="F1231" si="1130">(Z1232-Z1231)*1</f>
        <v>75</v>
      </c>
      <c r="G1231" s="79">
        <f t="shared" ref="G1231" si="1131">C1231+D1231+F1231+E1231</f>
        <v>3486.9999999999127</v>
      </c>
      <c r="H1231" s="199">
        <v>2852</v>
      </c>
      <c r="I1231" s="199">
        <v>628</v>
      </c>
      <c r="J1231" s="200">
        <f t="shared" si="1046"/>
        <v>3480</v>
      </c>
      <c r="K1231" s="201">
        <f t="shared" si="1047"/>
        <v>-6.9999999999126885</v>
      </c>
      <c r="L1231" s="254">
        <v>264</v>
      </c>
      <c r="M1231" s="249">
        <v>0.41666666666666669</v>
      </c>
      <c r="N1231" s="235">
        <v>200337</v>
      </c>
      <c r="O1231" s="235">
        <v>13115</v>
      </c>
      <c r="P1231" s="235">
        <v>10148</v>
      </c>
      <c r="Q1231" s="235"/>
      <c r="R1231" s="235">
        <v>42668</v>
      </c>
      <c r="S1231" s="236">
        <v>9922.2000000000007</v>
      </c>
      <c r="T1231" s="236"/>
      <c r="U1231" s="236"/>
      <c r="V1231" s="235">
        <v>288904</v>
      </c>
      <c r="W1231" s="235">
        <v>125001</v>
      </c>
      <c r="X1231" s="235">
        <v>105105</v>
      </c>
      <c r="Y1231" s="235">
        <v>92778</v>
      </c>
      <c r="Z1231" s="235">
        <v>200437</v>
      </c>
    </row>
    <row r="1232" spans="1:26" ht="18" hidden="1" customHeight="1" x14ac:dyDescent="0.2">
      <c r="A1232" s="47">
        <f t="shared" si="1042"/>
        <v>44083</v>
      </c>
      <c r="B1232" s="47" t="str">
        <f t="shared" si="999"/>
        <v>三</v>
      </c>
      <c r="C1232" s="48">
        <f t="shared" ref="C1232" si="1132">(V1233-V1232)*1+(W1233-W1232)*32+(X1233-X1232)*12+(Y1233-Y1232)*6</f>
        <v>2313</v>
      </c>
      <c r="D1232" s="84">
        <f t="shared" si="997"/>
        <v>968</v>
      </c>
      <c r="E1232" s="45">
        <f t="shared" si="998"/>
        <v>43.000000000087311</v>
      </c>
      <c r="F1232" s="45">
        <f t="shared" ref="F1232" si="1133">(Z1233-Z1232)*1</f>
        <v>68</v>
      </c>
      <c r="G1232" s="79">
        <f t="shared" ref="G1232" si="1134">C1232+D1232+F1232+E1232</f>
        <v>3392.0000000000873</v>
      </c>
      <c r="H1232" s="199">
        <v>2880</v>
      </c>
      <c r="I1232" s="199">
        <v>622</v>
      </c>
      <c r="J1232" s="200">
        <f t="shared" si="1046"/>
        <v>3502</v>
      </c>
      <c r="K1232" s="201">
        <f t="shared" si="1047"/>
        <v>109.99999999991269</v>
      </c>
      <c r="L1232" s="254">
        <v>253</v>
      </c>
      <c r="M1232" s="249">
        <v>0.63541666666666663</v>
      </c>
      <c r="N1232" s="235">
        <v>200437</v>
      </c>
      <c r="O1232" s="235">
        <v>13150</v>
      </c>
      <c r="P1232" s="235">
        <v>10157</v>
      </c>
      <c r="Q1232" s="235"/>
      <c r="R1232" s="235">
        <v>42684</v>
      </c>
      <c r="S1232" s="236">
        <v>9922.5</v>
      </c>
      <c r="T1232" s="236"/>
      <c r="U1232" s="236"/>
      <c r="V1232" s="235">
        <v>289108</v>
      </c>
      <c r="W1232" s="235">
        <v>125048</v>
      </c>
      <c r="X1232" s="235">
        <v>105170</v>
      </c>
      <c r="Y1232" s="235">
        <v>92778</v>
      </c>
      <c r="Z1232" s="235">
        <v>200512</v>
      </c>
    </row>
    <row r="1233" spans="1:26" ht="18" hidden="1" customHeight="1" x14ac:dyDescent="0.2">
      <c r="A1233" s="47">
        <f t="shared" si="1042"/>
        <v>44084</v>
      </c>
      <c r="B1233" s="47" t="str">
        <f t="shared" si="999"/>
        <v>四</v>
      </c>
      <c r="C1233" s="48">
        <f t="shared" ref="C1233" si="1135">(V1234-V1233)*1+(W1234-W1233)*32+(X1234-X1233)*12+(Y1234-Y1233)*6</f>
        <v>2397</v>
      </c>
      <c r="D1233" s="84">
        <f t="shared" si="997"/>
        <v>1048</v>
      </c>
      <c r="E1233" s="45">
        <f t="shared" si="998"/>
        <v>54.999999999912689</v>
      </c>
      <c r="F1233" s="45">
        <f t="shared" ref="F1233" si="1136">(Z1234-Z1233)*1</f>
        <v>81</v>
      </c>
      <c r="G1233" s="79">
        <f t="shared" ref="G1233" si="1137">C1233+D1233+F1233+E1233</f>
        <v>3580.9999999999127</v>
      </c>
      <c r="H1233" s="199">
        <v>2966</v>
      </c>
      <c r="I1233" s="199">
        <v>661</v>
      </c>
      <c r="J1233" s="200">
        <f t="shared" si="1046"/>
        <v>3627</v>
      </c>
      <c r="K1233" s="201">
        <f t="shared" si="1047"/>
        <v>46.000000000087311</v>
      </c>
      <c r="L1233" s="254">
        <v>262</v>
      </c>
      <c r="M1233" s="249">
        <v>0.59375</v>
      </c>
      <c r="N1233" s="235">
        <v>200547</v>
      </c>
      <c r="O1233" s="235">
        <v>13190</v>
      </c>
      <c r="P1233" s="235">
        <v>10168</v>
      </c>
      <c r="Q1233" s="235"/>
      <c r="R1233" s="235">
        <v>42703</v>
      </c>
      <c r="S1233" s="236">
        <v>9922.7000000000007</v>
      </c>
      <c r="T1233" s="236"/>
      <c r="U1233" s="236"/>
      <c r="V1233" s="235">
        <v>289329</v>
      </c>
      <c r="W1233" s="235">
        <v>125092</v>
      </c>
      <c r="X1233" s="235">
        <v>105227</v>
      </c>
      <c r="Y1233" s="235">
        <v>92778</v>
      </c>
      <c r="Z1233" s="235">
        <v>200580</v>
      </c>
    </row>
    <row r="1234" spans="1:26" ht="18" hidden="1" customHeight="1" x14ac:dyDescent="0.2">
      <c r="A1234" s="47">
        <f t="shared" si="1042"/>
        <v>44085</v>
      </c>
      <c r="B1234" s="47" t="str">
        <f t="shared" si="999"/>
        <v>五</v>
      </c>
      <c r="C1234" s="48">
        <f t="shared" ref="C1234:C1236" si="1138">(V1235-V1234)*1+(W1235-W1234)*32+(X1235-X1234)*12+(Y1235-Y1234)*6</f>
        <v>0</v>
      </c>
      <c r="D1234" s="84">
        <f t="shared" si="997"/>
        <v>0</v>
      </c>
      <c r="E1234" s="45">
        <f t="shared" si="998"/>
        <v>0</v>
      </c>
      <c r="F1234" s="45">
        <f t="shared" ref="F1234:F1236" si="1139">(Z1235-Z1234)*1</f>
        <v>0</v>
      </c>
      <c r="G1234" s="79">
        <f t="shared" ref="G1234:G1236" si="1140">C1234+D1234+F1234+E1234</f>
        <v>0</v>
      </c>
      <c r="H1234" s="199">
        <v>2663</v>
      </c>
      <c r="I1234" s="199">
        <v>653</v>
      </c>
      <c r="J1234" s="200">
        <f t="shared" si="1046"/>
        <v>3316</v>
      </c>
      <c r="K1234" s="201">
        <f t="shared" si="1047"/>
        <v>3316</v>
      </c>
      <c r="L1234" s="254">
        <v>269</v>
      </c>
      <c r="M1234" s="249">
        <v>0.46875</v>
      </c>
      <c r="N1234" s="235">
        <v>200667</v>
      </c>
      <c r="O1234" s="235">
        <v>13229</v>
      </c>
      <c r="P1234" s="235">
        <v>10179</v>
      </c>
      <c r="Q1234" s="235"/>
      <c r="R1234" s="235">
        <v>42722</v>
      </c>
      <c r="S1234" s="236">
        <v>9923</v>
      </c>
      <c r="T1234" s="236"/>
      <c r="U1234" s="236"/>
      <c r="V1234" s="235">
        <v>289542</v>
      </c>
      <c r="W1234" s="235">
        <v>125137</v>
      </c>
      <c r="X1234" s="235">
        <v>105289</v>
      </c>
      <c r="Y1234" s="235">
        <v>92778</v>
      </c>
      <c r="Z1234" s="235">
        <v>200661</v>
      </c>
    </row>
    <row r="1235" spans="1:26" ht="18" hidden="1" customHeight="1" x14ac:dyDescent="0.2">
      <c r="A1235" s="47">
        <f t="shared" si="1042"/>
        <v>44086</v>
      </c>
      <c r="B1235" s="47" t="str">
        <f t="shared" si="999"/>
        <v>六</v>
      </c>
      <c r="C1235" s="48">
        <f t="shared" si="1138"/>
        <v>0</v>
      </c>
      <c r="D1235" s="84">
        <f t="shared" si="997"/>
        <v>0</v>
      </c>
      <c r="E1235" s="45">
        <f t="shared" si="998"/>
        <v>0</v>
      </c>
      <c r="F1235" s="45">
        <f t="shared" si="1139"/>
        <v>0</v>
      </c>
      <c r="G1235" s="79">
        <f t="shared" si="1140"/>
        <v>0</v>
      </c>
      <c r="H1235" s="199">
        <v>0</v>
      </c>
      <c r="I1235" s="199">
        <f>614+993</f>
        <v>1607</v>
      </c>
      <c r="J1235" s="200">
        <f t="shared" si="1046"/>
        <v>1607</v>
      </c>
      <c r="K1235" s="201">
        <f t="shared" si="1047"/>
        <v>1607</v>
      </c>
      <c r="L1235" s="254">
        <v>75</v>
      </c>
      <c r="M1235" s="249">
        <v>0.89583333333333337</v>
      </c>
      <c r="N1235" s="153">
        <v>200667</v>
      </c>
      <c r="O1235" s="153">
        <v>13229</v>
      </c>
      <c r="P1235" s="153">
        <v>10179</v>
      </c>
      <c r="Q1235" s="153"/>
      <c r="R1235" s="153">
        <v>42722</v>
      </c>
      <c r="S1235" s="154">
        <v>9923</v>
      </c>
      <c r="T1235" s="154"/>
      <c r="U1235" s="154"/>
      <c r="V1235" s="153">
        <v>289542</v>
      </c>
      <c r="W1235" s="153">
        <v>125137</v>
      </c>
      <c r="X1235" s="153">
        <v>105289</v>
      </c>
      <c r="Y1235" s="153">
        <v>92778</v>
      </c>
      <c r="Z1235" s="153">
        <v>200661</v>
      </c>
    </row>
    <row r="1236" spans="1:26" ht="18" hidden="1" customHeight="1" x14ac:dyDescent="0.2">
      <c r="A1236" s="47">
        <f t="shared" si="1042"/>
        <v>44087</v>
      </c>
      <c r="B1236" s="47" t="str">
        <f t="shared" si="999"/>
        <v>日</v>
      </c>
      <c r="C1236" s="48">
        <f t="shared" si="1138"/>
        <v>3188</v>
      </c>
      <c r="D1236" s="84">
        <f t="shared" si="997"/>
        <v>3192</v>
      </c>
      <c r="E1236" s="45">
        <f t="shared" si="998"/>
        <v>128.00000000004366</v>
      </c>
      <c r="F1236" s="45">
        <f t="shared" si="1139"/>
        <v>225</v>
      </c>
      <c r="G1236" s="79">
        <f t="shared" si="1140"/>
        <v>6733.0000000000437</v>
      </c>
      <c r="H1236" s="199">
        <v>0</v>
      </c>
      <c r="I1236" s="199">
        <v>1589</v>
      </c>
      <c r="J1236" s="200">
        <f t="shared" si="1046"/>
        <v>1589</v>
      </c>
      <c r="K1236" s="201">
        <f t="shared" si="1047"/>
        <v>-5144.0000000000437</v>
      </c>
      <c r="L1236" s="254">
        <v>74</v>
      </c>
      <c r="M1236" s="249">
        <v>0.91666666666666663</v>
      </c>
      <c r="N1236" s="153">
        <v>200667</v>
      </c>
      <c r="O1236" s="153">
        <v>13229</v>
      </c>
      <c r="P1236" s="153">
        <v>10179</v>
      </c>
      <c r="Q1236" s="153"/>
      <c r="R1236" s="153">
        <v>42722</v>
      </c>
      <c r="S1236" s="154">
        <v>9923</v>
      </c>
      <c r="T1236" s="154"/>
      <c r="U1236" s="154"/>
      <c r="V1236" s="153">
        <v>289542</v>
      </c>
      <c r="W1236" s="153">
        <v>125137</v>
      </c>
      <c r="X1236" s="153">
        <v>105289</v>
      </c>
      <c r="Y1236" s="153">
        <v>92778</v>
      </c>
      <c r="Z1236" s="153">
        <v>200661</v>
      </c>
    </row>
    <row r="1237" spans="1:26" ht="18" hidden="1" customHeight="1" x14ac:dyDescent="0.2">
      <c r="A1237" s="47">
        <f t="shared" si="1042"/>
        <v>44088</v>
      </c>
      <c r="B1237" s="47" t="str">
        <f t="shared" si="999"/>
        <v>一</v>
      </c>
      <c r="C1237" s="48">
        <f t="shared" ref="C1237" si="1141">(V1238-V1237)*1+(W1238-W1237)*32+(X1238-X1237)*12+(Y1238-Y1237)*6</f>
        <v>2353</v>
      </c>
      <c r="D1237" s="84">
        <f t="shared" ref="D1237:D1300" si="1142">(N1238-N1237)*8+(P1238-P1237)*8</f>
        <v>80</v>
      </c>
      <c r="E1237" s="45">
        <f t="shared" ref="E1237:E1300" si="1143">(R1238-R1237)*1+(S1238-S1237)*120</f>
        <v>41.999999999869033</v>
      </c>
      <c r="F1237" s="45">
        <f t="shared" ref="F1237" si="1144">(Z1238-Z1237)*1</f>
        <v>83</v>
      </c>
      <c r="G1237" s="79">
        <f t="shared" ref="G1237" si="1145">C1237+D1237+F1237+E1237</f>
        <v>2557.999999999869</v>
      </c>
      <c r="H1237" s="199">
        <v>2821</v>
      </c>
      <c r="I1237" s="199">
        <v>646</v>
      </c>
      <c r="J1237" s="200">
        <f t="shared" si="1046"/>
        <v>3467</v>
      </c>
      <c r="K1237" s="201">
        <f t="shared" si="1047"/>
        <v>909.00000000013097</v>
      </c>
      <c r="L1237" s="254">
        <v>267</v>
      </c>
      <c r="M1237" s="249">
        <v>0.42708333333333331</v>
      </c>
      <c r="N1237" s="235">
        <v>201047</v>
      </c>
      <c r="O1237" s="235">
        <v>13343</v>
      </c>
      <c r="P1237" s="235">
        <v>10198</v>
      </c>
      <c r="Q1237" s="235"/>
      <c r="R1237" s="235">
        <v>42778</v>
      </c>
      <c r="S1237" s="236">
        <v>9923.6</v>
      </c>
      <c r="T1237" s="236"/>
      <c r="U1237" s="236"/>
      <c r="V1237" s="235">
        <v>290114</v>
      </c>
      <c r="W1237" s="235">
        <v>125200</v>
      </c>
      <c r="X1237" s="235">
        <v>105339</v>
      </c>
      <c r="Y1237" s="235">
        <v>92778</v>
      </c>
      <c r="Z1237" s="235">
        <v>200886</v>
      </c>
    </row>
    <row r="1238" spans="1:26" ht="18" hidden="1" customHeight="1" x14ac:dyDescent="0.2">
      <c r="A1238" s="47">
        <f t="shared" si="1042"/>
        <v>44089</v>
      </c>
      <c r="B1238" s="47" t="str">
        <f t="shared" ref="B1238:B1301" si="1146">B1231</f>
        <v>二</v>
      </c>
      <c r="C1238" s="48">
        <f t="shared" ref="C1238" si="1147">(V1239-V1238)*1+(W1239-W1238)*32+(X1239-X1238)*12+(Y1239-Y1238)*6</f>
        <v>2037</v>
      </c>
      <c r="D1238" s="84">
        <f t="shared" si="1142"/>
        <v>792</v>
      </c>
      <c r="E1238" s="45">
        <f t="shared" si="1143"/>
        <v>43.000000000087311</v>
      </c>
      <c r="F1238" s="45">
        <f t="shared" ref="F1238" si="1148">(Z1239-Z1238)*1</f>
        <v>84</v>
      </c>
      <c r="G1238" s="79">
        <f t="shared" ref="G1238" si="1149">C1238+D1238+F1238+E1238</f>
        <v>2956.0000000000873</v>
      </c>
      <c r="H1238" s="199">
        <v>2492</v>
      </c>
      <c r="I1238" s="199">
        <v>634</v>
      </c>
      <c r="J1238" s="200">
        <f t="shared" si="1046"/>
        <v>3126</v>
      </c>
      <c r="K1238" s="201">
        <f t="shared" si="1047"/>
        <v>169.99999999991269</v>
      </c>
      <c r="L1238" s="254">
        <v>265</v>
      </c>
      <c r="M1238" s="249">
        <v>0.38541666666666669</v>
      </c>
      <c r="N1238" s="235">
        <v>201047</v>
      </c>
      <c r="O1238" s="235">
        <v>13381</v>
      </c>
      <c r="P1238" s="235">
        <v>10208</v>
      </c>
      <c r="Q1238" s="235"/>
      <c r="R1238" s="235">
        <v>42796</v>
      </c>
      <c r="S1238" s="236">
        <v>9923.7999999999993</v>
      </c>
      <c r="T1238" s="236"/>
      <c r="U1238" s="236"/>
      <c r="V1238" s="235">
        <v>290331</v>
      </c>
      <c r="W1238" s="235">
        <v>125245</v>
      </c>
      <c r="X1238" s="235">
        <v>105397</v>
      </c>
      <c r="Y1238" s="235">
        <v>92778</v>
      </c>
      <c r="Z1238" s="235">
        <v>200969</v>
      </c>
    </row>
    <row r="1239" spans="1:26" ht="18" hidden="1" customHeight="1" x14ac:dyDescent="0.2">
      <c r="A1239" s="47">
        <f t="shared" si="1042"/>
        <v>44090</v>
      </c>
      <c r="B1239" s="47" t="str">
        <f t="shared" si="1146"/>
        <v>三</v>
      </c>
      <c r="C1239" s="48">
        <f t="shared" ref="C1239" si="1150">(V1240-V1239)*1+(W1240-W1239)*32+(X1240-X1239)*12+(Y1240-Y1239)*6</f>
        <v>1938</v>
      </c>
      <c r="D1239" s="84">
        <f t="shared" si="1142"/>
        <v>856</v>
      </c>
      <c r="E1239" s="45">
        <f t="shared" si="1143"/>
        <v>43.000000000087311</v>
      </c>
      <c r="F1239" s="45">
        <f t="shared" ref="F1239" si="1151">(Z1240-Z1239)*1</f>
        <v>77</v>
      </c>
      <c r="G1239" s="79">
        <f t="shared" ref="G1239" si="1152">C1239+D1239+F1239+E1239</f>
        <v>2914.0000000000873</v>
      </c>
      <c r="H1239" s="199">
        <v>2419</v>
      </c>
      <c r="I1239" s="199">
        <v>624</v>
      </c>
      <c r="J1239" s="200">
        <f t="shared" si="1046"/>
        <v>3043</v>
      </c>
      <c r="K1239" s="201">
        <f t="shared" si="1047"/>
        <v>128.99999999991269</v>
      </c>
      <c r="L1239" s="254">
        <v>236</v>
      </c>
      <c r="M1239" s="249">
        <v>0.38541666666666669</v>
      </c>
      <c r="N1239" s="235">
        <v>201137</v>
      </c>
      <c r="O1239" s="235">
        <v>13416</v>
      </c>
      <c r="P1239" s="235">
        <v>10217</v>
      </c>
      <c r="Q1239" s="235"/>
      <c r="R1239" s="235">
        <v>42815</v>
      </c>
      <c r="S1239" s="236">
        <v>9924</v>
      </c>
      <c r="T1239" s="236"/>
      <c r="U1239" s="236"/>
      <c r="V1239" s="235">
        <v>290544</v>
      </c>
      <c r="W1239" s="235">
        <v>125284</v>
      </c>
      <c r="X1239" s="235">
        <v>105445</v>
      </c>
      <c r="Y1239" s="235">
        <v>92778</v>
      </c>
      <c r="Z1239" s="235">
        <v>201053</v>
      </c>
    </row>
    <row r="1240" spans="1:26" ht="18" hidden="1" customHeight="1" x14ac:dyDescent="0.2">
      <c r="A1240" s="47">
        <f t="shared" si="1042"/>
        <v>44091</v>
      </c>
      <c r="B1240" s="47" t="str">
        <f t="shared" si="1146"/>
        <v>四</v>
      </c>
      <c r="C1240" s="48">
        <f t="shared" ref="C1240" si="1153">(V1241-V1240)*1+(W1241-W1240)*32+(X1241-X1240)*12+(Y1241-Y1240)*6</f>
        <v>2372</v>
      </c>
      <c r="D1240" s="84">
        <f t="shared" si="1142"/>
        <v>856</v>
      </c>
      <c r="E1240" s="45">
        <f t="shared" si="1143"/>
        <v>55.999999999912689</v>
      </c>
      <c r="F1240" s="45">
        <f t="shared" ref="F1240" si="1154">(Z1241-Z1240)*1</f>
        <v>85</v>
      </c>
      <c r="G1240" s="79">
        <f t="shared" ref="G1240" si="1155">C1240+D1240+F1240+E1240</f>
        <v>3368.9999999999127</v>
      </c>
      <c r="H1240" s="199">
        <v>2819</v>
      </c>
      <c r="I1240" s="199">
        <v>642</v>
      </c>
      <c r="J1240" s="200">
        <f t="shared" si="1046"/>
        <v>3461</v>
      </c>
      <c r="K1240" s="201">
        <f t="shared" si="1047"/>
        <v>92.000000000087311</v>
      </c>
      <c r="L1240" s="254">
        <v>265</v>
      </c>
      <c r="M1240" s="249">
        <v>0.38541666666666669</v>
      </c>
      <c r="N1240" s="235">
        <v>201237</v>
      </c>
      <c r="O1240" s="235">
        <v>13452</v>
      </c>
      <c r="P1240" s="235">
        <v>10224</v>
      </c>
      <c r="Q1240" s="235"/>
      <c r="R1240" s="235">
        <v>42834</v>
      </c>
      <c r="S1240" s="236">
        <v>9924.2000000000007</v>
      </c>
      <c r="T1240" s="236"/>
      <c r="U1240" s="236"/>
      <c r="V1240" s="235">
        <v>290754</v>
      </c>
      <c r="W1240" s="235">
        <v>125323</v>
      </c>
      <c r="X1240" s="235">
        <v>105485</v>
      </c>
      <c r="Y1240" s="235">
        <v>92778</v>
      </c>
      <c r="Z1240" s="235">
        <v>201130</v>
      </c>
    </row>
    <row r="1241" spans="1:26" ht="18" hidden="1" customHeight="1" x14ac:dyDescent="0.2">
      <c r="A1241" s="47">
        <f t="shared" si="1042"/>
        <v>44092</v>
      </c>
      <c r="B1241" s="47" t="str">
        <f t="shared" si="1146"/>
        <v>五</v>
      </c>
      <c r="C1241" s="48">
        <f t="shared" ref="C1241:C1243" si="1156">(V1242-V1241)*1+(W1242-W1241)*32+(X1242-X1241)*12+(Y1242-Y1241)*6</f>
        <v>0</v>
      </c>
      <c r="D1241" s="84">
        <f t="shared" si="1142"/>
        <v>0</v>
      </c>
      <c r="E1241" s="45">
        <f t="shared" si="1143"/>
        <v>0</v>
      </c>
      <c r="F1241" s="45">
        <f t="shared" ref="F1241:F1243" si="1157">(Z1242-Z1241)*1</f>
        <v>0</v>
      </c>
      <c r="G1241" s="79">
        <f t="shared" ref="G1241:G1243" si="1158">C1241+D1241+F1241+E1241</f>
        <v>0</v>
      </c>
      <c r="H1241" s="199">
        <v>2825</v>
      </c>
      <c r="I1241" s="199">
        <v>644</v>
      </c>
      <c r="J1241" s="200">
        <f t="shared" si="1046"/>
        <v>3469</v>
      </c>
      <c r="K1241" s="201">
        <f t="shared" si="1047"/>
        <v>3469</v>
      </c>
      <c r="L1241" s="254">
        <v>263</v>
      </c>
      <c r="M1241" s="249">
        <v>0.36458333333333331</v>
      </c>
      <c r="N1241" s="235">
        <v>201337</v>
      </c>
      <c r="O1241" s="235">
        <v>13490</v>
      </c>
      <c r="P1241" s="235">
        <v>10231</v>
      </c>
      <c r="Q1241" s="235"/>
      <c r="R1241" s="235">
        <v>42854</v>
      </c>
      <c r="S1241" s="236">
        <v>9924.5</v>
      </c>
      <c r="T1241" s="236"/>
      <c r="U1241" s="236"/>
      <c r="V1241" s="235">
        <v>290978</v>
      </c>
      <c r="W1241" s="235">
        <v>125368</v>
      </c>
      <c r="X1241" s="235">
        <v>105544</v>
      </c>
      <c r="Y1241" s="235">
        <v>92778</v>
      </c>
      <c r="Z1241" s="235">
        <v>201215</v>
      </c>
    </row>
    <row r="1242" spans="1:26" ht="18" hidden="1" customHeight="1" x14ac:dyDescent="0.2">
      <c r="A1242" s="47">
        <f t="shared" si="1042"/>
        <v>44093</v>
      </c>
      <c r="B1242" s="47" t="str">
        <f t="shared" si="1146"/>
        <v>六</v>
      </c>
      <c r="C1242" s="48">
        <f t="shared" si="1156"/>
        <v>0</v>
      </c>
      <c r="D1242" s="84">
        <f t="shared" si="1142"/>
        <v>0</v>
      </c>
      <c r="E1242" s="45">
        <f t="shared" si="1143"/>
        <v>0</v>
      </c>
      <c r="F1242" s="45">
        <f t="shared" si="1157"/>
        <v>0</v>
      </c>
      <c r="G1242" s="79">
        <f t="shared" si="1158"/>
        <v>0</v>
      </c>
      <c r="H1242" s="199">
        <v>0</v>
      </c>
      <c r="I1242" s="199">
        <f>931+562</f>
        <v>1493</v>
      </c>
      <c r="J1242" s="200">
        <f t="shared" si="1046"/>
        <v>1493</v>
      </c>
      <c r="K1242" s="201">
        <f t="shared" si="1047"/>
        <v>1493</v>
      </c>
      <c r="L1242" s="254">
        <v>67</v>
      </c>
      <c r="M1242" s="249" t="s">
        <v>175</v>
      </c>
      <c r="N1242" s="153">
        <v>201337</v>
      </c>
      <c r="O1242" s="153">
        <v>13490</v>
      </c>
      <c r="P1242" s="153">
        <v>10231</v>
      </c>
      <c r="Q1242" s="153"/>
      <c r="R1242" s="153">
        <v>42854</v>
      </c>
      <c r="S1242" s="154">
        <v>9924.5</v>
      </c>
      <c r="T1242" s="154"/>
      <c r="U1242" s="154"/>
      <c r="V1242" s="153">
        <v>290978</v>
      </c>
      <c r="W1242" s="153">
        <v>125368</v>
      </c>
      <c r="X1242" s="153">
        <v>105544</v>
      </c>
      <c r="Y1242" s="153">
        <v>92778</v>
      </c>
      <c r="Z1242" s="153">
        <v>201215</v>
      </c>
    </row>
    <row r="1243" spans="1:26" ht="18" hidden="1" customHeight="1" x14ac:dyDescent="0.2">
      <c r="A1243" s="47">
        <f t="shared" si="1042"/>
        <v>44094</v>
      </c>
      <c r="B1243" s="47" t="str">
        <f t="shared" si="1146"/>
        <v>日</v>
      </c>
      <c r="C1243" s="48">
        <f t="shared" si="1156"/>
        <v>3189</v>
      </c>
      <c r="D1243" s="84">
        <f t="shared" si="1142"/>
        <v>2432</v>
      </c>
      <c r="E1243" s="45">
        <f t="shared" si="1143"/>
        <v>139.00000000008731</v>
      </c>
      <c r="F1243" s="45">
        <f t="shared" si="1157"/>
        <v>236</v>
      </c>
      <c r="G1243" s="79">
        <f t="shared" si="1158"/>
        <v>5996.0000000000873</v>
      </c>
      <c r="H1243" s="199">
        <v>0</v>
      </c>
      <c r="I1243" s="199">
        <v>1426</v>
      </c>
      <c r="J1243" s="200">
        <f t="shared" si="1046"/>
        <v>1426</v>
      </c>
      <c r="K1243" s="201">
        <f t="shared" si="1047"/>
        <v>-4570.0000000000873</v>
      </c>
      <c r="L1243" s="254">
        <v>69</v>
      </c>
      <c r="M1243" s="249">
        <v>0.90625</v>
      </c>
      <c r="N1243" s="153">
        <v>201337</v>
      </c>
      <c r="O1243" s="153">
        <v>13490</v>
      </c>
      <c r="P1243" s="153">
        <v>10231</v>
      </c>
      <c r="Q1243" s="153"/>
      <c r="R1243" s="153">
        <v>42854</v>
      </c>
      <c r="S1243" s="154">
        <v>9924.5</v>
      </c>
      <c r="T1243" s="154"/>
      <c r="U1243" s="154"/>
      <c r="V1243" s="153">
        <v>290978</v>
      </c>
      <c r="W1243" s="153">
        <v>125368</v>
      </c>
      <c r="X1243" s="153">
        <v>105544</v>
      </c>
      <c r="Y1243" s="153">
        <v>92778</v>
      </c>
      <c r="Z1243" s="153">
        <v>201215</v>
      </c>
    </row>
    <row r="1244" spans="1:26" ht="18" hidden="1" customHeight="1" x14ac:dyDescent="0.2">
      <c r="A1244" s="47">
        <f t="shared" si="1042"/>
        <v>44095</v>
      </c>
      <c r="B1244" s="47" t="str">
        <f t="shared" si="1146"/>
        <v>一</v>
      </c>
      <c r="C1244" s="48">
        <f t="shared" ref="C1244" si="1159">(V1245-V1244)*1+(W1245-W1244)*32+(X1245-X1244)*12+(Y1245-Y1244)*6</f>
        <v>2446</v>
      </c>
      <c r="D1244" s="84">
        <f t="shared" si="1142"/>
        <v>776</v>
      </c>
      <c r="E1244" s="45">
        <f t="shared" si="1143"/>
        <v>29.999999999825377</v>
      </c>
      <c r="F1244" s="45">
        <f t="shared" ref="F1244" si="1160">(Z1245-Z1244)*1</f>
        <v>68</v>
      </c>
      <c r="G1244" s="79">
        <f t="shared" ref="G1244" si="1161">C1244+D1244+F1244+E1244</f>
        <v>3319.9999999998254</v>
      </c>
      <c r="H1244" s="199">
        <v>2721</v>
      </c>
      <c r="I1244" s="199">
        <v>604</v>
      </c>
      <c r="J1244" s="200">
        <f t="shared" si="1046"/>
        <v>3325</v>
      </c>
      <c r="K1244" s="201">
        <f t="shared" si="1047"/>
        <v>5.000000000174623</v>
      </c>
      <c r="L1244" s="254">
        <v>250</v>
      </c>
      <c r="M1244" s="249">
        <v>0.48958333333333331</v>
      </c>
      <c r="N1244" s="235">
        <v>201617</v>
      </c>
      <c r="O1244" s="235">
        <v>13295</v>
      </c>
      <c r="P1244" s="235">
        <v>10255</v>
      </c>
      <c r="Q1244" s="235"/>
      <c r="R1244" s="235">
        <v>42909</v>
      </c>
      <c r="S1244" s="236">
        <v>9925.2000000000007</v>
      </c>
      <c r="T1244" s="236"/>
      <c r="U1244" s="236"/>
      <c r="V1244" s="235">
        <v>291491</v>
      </c>
      <c r="W1244" s="235">
        <v>125431</v>
      </c>
      <c r="X1244" s="235">
        <v>105599</v>
      </c>
      <c r="Y1244" s="235">
        <v>92778</v>
      </c>
      <c r="Z1244" s="235">
        <v>201451</v>
      </c>
    </row>
    <row r="1245" spans="1:26" ht="18" hidden="1" customHeight="1" x14ac:dyDescent="0.2">
      <c r="A1245" s="47">
        <f t="shared" si="1042"/>
        <v>44096</v>
      </c>
      <c r="B1245" s="47" t="str">
        <f t="shared" si="1146"/>
        <v>二</v>
      </c>
      <c r="C1245" s="48">
        <f t="shared" ref="C1245" si="1162">(V1246-V1245)*1+(W1246-W1245)*32+(X1246-X1245)*12+(Y1246-Y1245)*6</f>
        <v>1965</v>
      </c>
      <c r="D1245" s="84">
        <f t="shared" si="1142"/>
        <v>768</v>
      </c>
      <c r="E1245" s="45">
        <f t="shared" si="1143"/>
        <v>122.00000000017462</v>
      </c>
      <c r="F1245" s="45">
        <f t="shared" ref="F1245" si="1163">(Z1246-Z1245)*1</f>
        <v>74</v>
      </c>
      <c r="G1245" s="79">
        <f t="shared" ref="G1245" si="1164">C1245+D1245+F1245+E1245</f>
        <v>2929.0000000001746</v>
      </c>
      <c r="H1245" s="199">
        <v>2597</v>
      </c>
      <c r="I1245" s="199">
        <v>598</v>
      </c>
      <c r="J1245" s="200">
        <f t="shared" si="1046"/>
        <v>3195</v>
      </c>
      <c r="K1245" s="201">
        <f t="shared" si="1047"/>
        <v>265.99999999982538</v>
      </c>
      <c r="L1245" s="254">
        <v>237</v>
      </c>
      <c r="M1245" s="249">
        <v>0.51041666666666663</v>
      </c>
      <c r="N1245" s="235">
        <v>201707</v>
      </c>
      <c r="O1245" s="235">
        <v>13628</v>
      </c>
      <c r="P1245" s="235">
        <v>10262</v>
      </c>
      <c r="Q1245" s="235"/>
      <c r="R1245" s="235">
        <v>42927</v>
      </c>
      <c r="S1245" s="236">
        <v>9925.2999999999993</v>
      </c>
      <c r="T1245" s="236"/>
      <c r="U1245" s="236"/>
      <c r="V1245" s="235">
        <v>291685</v>
      </c>
      <c r="W1245" s="235">
        <v>125471</v>
      </c>
      <c r="X1245" s="235">
        <v>105680</v>
      </c>
      <c r="Y1245" s="235">
        <v>92778</v>
      </c>
      <c r="Z1245" s="235">
        <v>201519</v>
      </c>
    </row>
    <row r="1246" spans="1:26" ht="18" hidden="1" customHeight="1" x14ac:dyDescent="0.2">
      <c r="A1246" s="47">
        <f t="shared" si="1042"/>
        <v>44097</v>
      </c>
      <c r="B1246" s="47" t="str">
        <f t="shared" si="1146"/>
        <v>三</v>
      </c>
      <c r="C1246" s="48">
        <f t="shared" ref="C1246" si="1165">(V1247-V1246)*1+(W1247-W1246)*32+(X1247-X1246)*12+(Y1247-Y1246)*6</f>
        <v>1929</v>
      </c>
      <c r="D1246" s="84">
        <f t="shared" si="1142"/>
        <v>608</v>
      </c>
      <c r="E1246" s="45">
        <f t="shared" si="1143"/>
        <v>135.99999999991269</v>
      </c>
      <c r="F1246" s="45">
        <f t="shared" ref="F1246" si="1166">(Z1247-Z1246)*1</f>
        <v>71</v>
      </c>
      <c r="G1246" s="79">
        <f t="shared" ref="G1246" si="1167">C1246+D1246+F1246+E1246</f>
        <v>2743.9999999999127</v>
      </c>
      <c r="H1246" s="199">
        <v>2341</v>
      </c>
      <c r="I1246" s="199">
        <v>629</v>
      </c>
      <c r="J1246" s="200">
        <f t="shared" si="1046"/>
        <v>2970</v>
      </c>
      <c r="K1246" s="201">
        <f t="shared" si="1047"/>
        <v>226.00000000008731</v>
      </c>
      <c r="L1246" s="254">
        <v>228</v>
      </c>
      <c r="M1246" s="249">
        <v>0.64583333333333337</v>
      </c>
      <c r="N1246" s="235">
        <v>201797</v>
      </c>
      <c r="O1246" s="235">
        <v>13664</v>
      </c>
      <c r="P1246" s="235">
        <v>10268</v>
      </c>
      <c r="Q1246" s="235"/>
      <c r="R1246" s="235">
        <v>43001</v>
      </c>
      <c r="S1246" s="236">
        <v>9925.7000000000007</v>
      </c>
      <c r="T1246" s="236"/>
      <c r="U1246" s="236"/>
      <c r="V1246" s="235">
        <v>291882</v>
      </c>
      <c r="W1246" s="235">
        <v>125509</v>
      </c>
      <c r="X1246" s="235">
        <v>105726</v>
      </c>
      <c r="Y1246" s="235">
        <v>92778</v>
      </c>
      <c r="Z1246" s="235">
        <v>201593</v>
      </c>
    </row>
    <row r="1247" spans="1:26" ht="18" hidden="1" customHeight="1" x14ac:dyDescent="0.2">
      <c r="A1247" s="47">
        <f t="shared" si="1042"/>
        <v>44098</v>
      </c>
      <c r="B1247" s="47" t="str">
        <f t="shared" si="1146"/>
        <v>四</v>
      </c>
      <c r="C1247" s="48">
        <f t="shared" ref="C1247" si="1168">(V1248-V1247)*1+(W1248-W1247)*32+(X1248-X1247)*12+(Y1248-Y1247)*6</f>
        <v>1844</v>
      </c>
      <c r="D1247" s="84">
        <f t="shared" si="1142"/>
        <v>544</v>
      </c>
      <c r="E1247" s="45">
        <f t="shared" si="1143"/>
        <v>101.00000000008731</v>
      </c>
      <c r="F1247" s="45">
        <f t="shared" ref="F1247" si="1169">(Z1248-Z1247)*1</f>
        <v>75</v>
      </c>
      <c r="G1247" s="79">
        <f t="shared" ref="G1247" si="1170">C1247+D1247+F1247+E1247</f>
        <v>2564.0000000000873</v>
      </c>
      <c r="H1247" s="199">
        <v>2302</v>
      </c>
      <c r="I1247" s="199">
        <v>519</v>
      </c>
      <c r="J1247" s="200">
        <f t="shared" si="1046"/>
        <v>2821</v>
      </c>
      <c r="K1247" s="201">
        <f t="shared" si="1047"/>
        <v>256.99999999991269</v>
      </c>
      <c r="L1247" s="254">
        <v>234</v>
      </c>
      <c r="M1247" s="249">
        <v>0.59375</v>
      </c>
      <c r="N1247" s="235">
        <v>201867</v>
      </c>
      <c r="O1247" s="235">
        <v>13685</v>
      </c>
      <c r="P1247" s="235">
        <v>10274</v>
      </c>
      <c r="Q1247" s="235"/>
      <c r="R1247" s="235">
        <v>43101</v>
      </c>
      <c r="S1247" s="236">
        <v>9926</v>
      </c>
      <c r="T1247" s="236"/>
      <c r="U1247" s="236"/>
      <c r="V1247" s="235">
        <v>292083</v>
      </c>
      <c r="W1247" s="235">
        <v>125545</v>
      </c>
      <c r="X1247" s="235">
        <v>105774</v>
      </c>
      <c r="Y1247" s="235">
        <v>92778</v>
      </c>
      <c r="Z1247" s="235">
        <v>201664</v>
      </c>
    </row>
    <row r="1248" spans="1:26" ht="18" hidden="1" customHeight="1" x14ac:dyDescent="0.2">
      <c r="A1248" s="47">
        <f t="shared" si="1042"/>
        <v>44099</v>
      </c>
      <c r="B1248" s="47" t="str">
        <f t="shared" si="1146"/>
        <v>五</v>
      </c>
      <c r="C1248" s="48">
        <f t="shared" ref="C1248:C1250" si="1171">(V1249-V1248)*1+(W1249-W1248)*32+(X1249-X1248)*12+(Y1249-Y1248)*6</f>
        <v>0</v>
      </c>
      <c r="D1248" s="84">
        <f t="shared" si="1142"/>
        <v>0</v>
      </c>
      <c r="E1248" s="45">
        <f t="shared" si="1143"/>
        <v>0</v>
      </c>
      <c r="F1248" s="45">
        <f t="shared" ref="F1248:F1250" si="1172">(Z1249-Z1248)*1</f>
        <v>0</v>
      </c>
      <c r="G1248" s="79">
        <f t="shared" ref="G1248:G1250" si="1173">C1248+D1248+F1248+E1248</f>
        <v>0</v>
      </c>
      <c r="H1248" s="199">
        <v>2274</v>
      </c>
      <c r="I1248" s="199">
        <v>483</v>
      </c>
      <c r="J1248" s="200">
        <f t="shared" si="1046"/>
        <v>2757</v>
      </c>
      <c r="K1248" s="201">
        <f t="shared" si="1047"/>
        <v>2757</v>
      </c>
      <c r="L1248" s="254">
        <v>239</v>
      </c>
      <c r="M1248" s="249">
        <v>0.44791666666666669</v>
      </c>
      <c r="N1248" s="235">
        <v>201927</v>
      </c>
      <c r="O1248" s="235">
        <v>13708</v>
      </c>
      <c r="P1248" s="235">
        <v>10282</v>
      </c>
      <c r="Q1248" s="235"/>
      <c r="R1248" s="235">
        <v>43178</v>
      </c>
      <c r="S1248" s="236">
        <v>9926.2000000000007</v>
      </c>
      <c r="T1248" s="236"/>
      <c r="U1248" s="236"/>
      <c r="V1248" s="235">
        <v>292271</v>
      </c>
      <c r="W1248" s="235">
        <v>125575</v>
      </c>
      <c r="X1248" s="235">
        <v>105832</v>
      </c>
      <c r="Y1248" s="235">
        <v>92778</v>
      </c>
      <c r="Z1248" s="235">
        <v>201739</v>
      </c>
    </row>
    <row r="1249" spans="1:26" ht="18" hidden="1" customHeight="1" x14ac:dyDescent="0.2">
      <c r="A1249" s="47">
        <f t="shared" si="1042"/>
        <v>44100</v>
      </c>
      <c r="B1249" s="47" t="str">
        <f t="shared" si="1146"/>
        <v>六</v>
      </c>
      <c r="C1249" s="48">
        <f t="shared" si="1171"/>
        <v>0</v>
      </c>
      <c r="D1249" s="84">
        <f t="shared" si="1142"/>
        <v>0</v>
      </c>
      <c r="E1249" s="45">
        <f t="shared" si="1143"/>
        <v>0</v>
      </c>
      <c r="F1249" s="45">
        <f t="shared" si="1172"/>
        <v>0</v>
      </c>
      <c r="G1249" s="79">
        <f t="shared" si="1173"/>
        <v>0</v>
      </c>
      <c r="H1249" s="199">
        <v>0</v>
      </c>
      <c r="I1249" s="199">
        <v>488</v>
      </c>
      <c r="J1249" s="200">
        <f t="shared" si="1046"/>
        <v>488</v>
      </c>
      <c r="K1249" s="201">
        <f t="shared" si="1047"/>
        <v>488</v>
      </c>
      <c r="L1249" s="254">
        <v>71</v>
      </c>
      <c r="M1249" s="249">
        <v>0.92708333333333337</v>
      </c>
      <c r="N1249" s="153">
        <v>201927</v>
      </c>
      <c r="O1249" s="153">
        <v>13708</v>
      </c>
      <c r="P1249" s="153">
        <v>10282</v>
      </c>
      <c r="Q1249" s="153"/>
      <c r="R1249" s="153">
        <v>43178</v>
      </c>
      <c r="S1249" s="154">
        <v>9926.2000000000007</v>
      </c>
      <c r="T1249" s="154"/>
      <c r="U1249" s="154"/>
      <c r="V1249" s="153">
        <v>292271</v>
      </c>
      <c r="W1249" s="153">
        <v>125575</v>
      </c>
      <c r="X1249" s="153">
        <v>105832</v>
      </c>
      <c r="Y1249" s="153">
        <v>92778</v>
      </c>
      <c r="Z1249" s="153">
        <v>201739</v>
      </c>
    </row>
    <row r="1250" spans="1:26" ht="18" hidden="1" customHeight="1" x14ac:dyDescent="0.2">
      <c r="A1250" s="47">
        <f t="shared" si="1042"/>
        <v>44101</v>
      </c>
      <c r="B1250" s="47" t="str">
        <f t="shared" si="1146"/>
        <v>日</v>
      </c>
      <c r="C1250" s="48">
        <f t="shared" si="1171"/>
        <v>2905</v>
      </c>
      <c r="D1250" s="84">
        <f t="shared" si="1142"/>
        <v>952</v>
      </c>
      <c r="E1250" s="45">
        <f t="shared" si="1143"/>
        <v>106.99999999995634</v>
      </c>
      <c r="F1250" s="45">
        <f t="shared" si="1172"/>
        <v>182</v>
      </c>
      <c r="G1250" s="79">
        <f t="shared" si="1173"/>
        <v>4145.9999999999563</v>
      </c>
      <c r="H1250" s="199">
        <v>0</v>
      </c>
      <c r="I1250" s="199">
        <v>1481</v>
      </c>
      <c r="J1250" s="200">
        <f t="shared" si="1046"/>
        <v>1481</v>
      </c>
      <c r="K1250" s="201">
        <f t="shared" si="1047"/>
        <v>-2664.9999999999563</v>
      </c>
      <c r="L1250" s="254">
        <v>72</v>
      </c>
      <c r="M1250" s="249">
        <v>0.92708333333333337</v>
      </c>
      <c r="N1250" s="153">
        <v>201927</v>
      </c>
      <c r="O1250" s="153">
        <v>13708</v>
      </c>
      <c r="P1250" s="153">
        <v>10282</v>
      </c>
      <c r="Q1250" s="153"/>
      <c r="R1250" s="153">
        <v>43178</v>
      </c>
      <c r="S1250" s="154">
        <v>9926.2000000000007</v>
      </c>
      <c r="T1250" s="154"/>
      <c r="U1250" s="154"/>
      <c r="V1250" s="153">
        <v>292271</v>
      </c>
      <c r="W1250" s="153">
        <v>125575</v>
      </c>
      <c r="X1250" s="153">
        <v>105832</v>
      </c>
      <c r="Y1250" s="153">
        <v>92778</v>
      </c>
      <c r="Z1250" s="153">
        <v>201739</v>
      </c>
    </row>
    <row r="1251" spans="1:26" ht="18" hidden="1" customHeight="1" x14ac:dyDescent="0.2">
      <c r="A1251" s="47">
        <f t="shared" si="1042"/>
        <v>44102</v>
      </c>
      <c r="B1251" s="47" t="str">
        <f t="shared" si="1146"/>
        <v>一</v>
      </c>
      <c r="C1251" s="48">
        <f t="shared" ref="C1251" si="1174">(V1252-V1251)*1+(W1252-W1251)*32+(X1252-X1251)*12+(Y1252-Y1251)*6</f>
        <v>2686</v>
      </c>
      <c r="D1251" s="84">
        <f t="shared" si="1142"/>
        <v>528</v>
      </c>
      <c r="E1251" s="45">
        <f t="shared" si="1143"/>
        <v>155.99999999986903</v>
      </c>
      <c r="F1251" s="45">
        <f t="shared" ref="F1251" si="1175">(Z1252-Z1251)*1</f>
        <v>68</v>
      </c>
      <c r="G1251" s="79">
        <f t="shared" ref="G1251" si="1176">C1251+D1251+F1251+E1251</f>
        <v>3437.999999999869</v>
      </c>
      <c r="H1251" s="199">
        <v>2560</v>
      </c>
      <c r="I1251" s="199">
        <v>610</v>
      </c>
      <c r="J1251" s="200">
        <f t="shared" si="1046"/>
        <v>3170</v>
      </c>
      <c r="K1251" s="201">
        <f t="shared" si="1047"/>
        <v>-267.99999999986903</v>
      </c>
      <c r="L1251" s="254">
        <v>253</v>
      </c>
      <c r="M1251" s="249">
        <v>0.44791666666666669</v>
      </c>
      <c r="N1251" s="235">
        <v>202027</v>
      </c>
      <c r="O1251" s="235">
        <v>13804</v>
      </c>
      <c r="P1251" s="235">
        <v>10301</v>
      </c>
      <c r="Q1251" s="235"/>
      <c r="R1251" s="235">
        <v>43297</v>
      </c>
      <c r="S1251" s="236">
        <v>9926.1</v>
      </c>
      <c r="T1251" s="236"/>
      <c r="U1251" s="236"/>
      <c r="V1251" s="235">
        <v>292748</v>
      </c>
      <c r="W1251" s="235">
        <v>125631</v>
      </c>
      <c r="X1251" s="235">
        <v>105885</v>
      </c>
      <c r="Y1251" s="235">
        <v>92778</v>
      </c>
      <c r="Z1251" s="235">
        <v>201921</v>
      </c>
    </row>
    <row r="1252" spans="1:26" ht="18" hidden="1" customHeight="1" x14ac:dyDescent="0.2">
      <c r="A1252" s="47">
        <f t="shared" si="1042"/>
        <v>44103</v>
      </c>
      <c r="B1252" s="47" t="str">
        <f t="shared" si="1146"/>
        <v>二</v>
      </c>
      <c r="C1252" s="48">
        <f t="shared" ref="C1252" si="1177">(V1253-V1252)*1+(W1253-W1252)*32+(X1253-X1252)*12+(Y1253-Y1252)*6</f>
        <v>1479</v>
      </c>
      <c r="D1252" s="84">
        <f t="shared" si="1142"/>
        <v>2456</v>
      </c>
      <c r="E1252" s="45">
        <f t="shared" si="1143"/>
        <v>76.000000000087311</v>
      </c>
      <c r="F1252" s="45">
        <f t="shared" ref="F1252" si="1178">(Z1253-Z1252)*1</f>
        <v>71</v>
      </c>
      <c r="G1252" s="79">
        <f t="shared" ref="G1252" si="1179">C1252+D1252+F1252+E1252</f>
        <v>4082.0000000000873</v>
      </c>
      <c r="H1252" s="199">
        <v>2430</v>
      </c>
      <c r="I1252" s="199">
        <v>672</v>
      </c>
      <c r="J1252" s="200">
        <f t="shared" si="1046"/>
        <v>3102</v>
      </c>
      <c r="K1252" s="201">
        <f t="shared" si="1047"/>
        <v>-980.00000000008731</v>
      </c>
      <c r="L1252" s="254">
        <v>237</v>
      </c>
      <c r="M1252" s="249">
        <v>0.40625</v>
      </c>
      <c r="N1252" s="235">
        <v>202087</v>
      </c>
      <c r="O1252" s="235">
        <v>13845</v>
      </c>
      <c r="P1252" s="235">
        <v>10307</v>
      </c>
      <c r="Q1252" s="235"/>
      <c r="R1252" s="235">
        <v>43369</v>
      </c>
      <c r="S1252" s="236">
        <v>9926.7999999999993</v>
      </c>
      <c r="T1252" s="236"/>
      <c r="U1252" s="236"/>
      <c r="V1252" s="235">
        <v>292914</v>
      </c>
      <c r="W1252" s="235">
        <v>125685</v>
      </c>
      <c r="X1252" s="235">
        <v>105951</v>
      </c>
      <c r="Y1252" s="235">
        <v>92778</v>
      </c>
      <c r="Z1252" s="235">
        <v>201989</v>
      </c>
    </row>
    <row r="1253" spans="1:26" ht="18" hidden="1" customHeight="1" x14ac:dyDescent="0.2">
      <c r="A1253" s="47">
        <f t="shared" si="1042"/>
        <v>44104</v>
      </c>
      <c r="B1253" s="47" t="str">
        <f t="shared" si="1146"/>
        <v>三</v>
      </c>
      <c r="C1253" s="48">
        <f t="shared" ref="C1253:C1257" si="1180">(V1254-V1253)*1+(W1254-W1253)*32+(X1254-X1253)*12+(Y1254-Y1253)*6</f>
        <v>0</v>
      </c>
      <c r="D1253" s="84">
        <f t="shared" si="1142"/>
        <v>0</v>
      </c>
      <c r="E1253" s="45">
        <f t="shared" si="1143"/>
        <v>0</v>
      </c>
      <c r="F1253" s="45">
        <f t="shared" ref="F1253:F1257" si="1181">(Z1254-Z1253)*1</f>
        <v>0</v>
      </c>
      <c r="G1253" s="79">
        <f t="shared" ref="G1253:G1257" si="1182">C1253+D1253+F1253+E1253</f>
        <v>0</v>
      </c>
      <c r="H1253" s="199">
        <v>2099</v>
      </c>
      <c r="I1253" s="199">
        <v>802</v>
      </c>
      <c r="J1253" s="200">
        <f t="shared" si="1046"/>
        <v>2901</v>
      </c>
      <c r="K1253" s="201">
        <f t="shared" si="1047"/>
        <v>2901</v>
      </c>
      <c r="L1253" s="254">
        <v>233</v>
      </c>
      <c r="M1253" s="249">
        <v>0.41666666666666669</v>
      </c>
      <c r="N1253" s="235">
        <v>202387</v>
      </c>
      <c r="O1253" s="235">
        <v>13883</v>
      </c>
      <c r="P1253" s="235">
        <v>10314</v>
      </c>
      <c r="Q1253" s="235"/>
      <c r="R1253" s="235">
        <v>43421</v>
      </c>
      <c r="S1253" s="236">
        <v>9927</v>
      </c>
      <c r="T1253" s="236"/>
      <c r="U1253" s="236"/>
      <c r="V1253" s="235">
        <v>293093</v>
      </c>
      <c r="W1253" s="235">
        <v>125705</v>
      </c>
      <c r="X1253" s="235">
        <v>106006</v>
      </c>
      <c r="Y1253" s="235">
        <v>92778</v>
      </c>
      <c r="Z1253" s="235">
        <v>202060</v>
      </c>
    </row>
    <row r="1254" spans="1:26" ht="18" hidden="1" customHeight="1" x14ac:dyDescent="0.2">
      <c r="A1254" s="47">
        <f t="shared" si="1042"/>
        <v>44105</v>
      </c>
      <c r="B1254" s="47" t="str">
        <f t="shared" si="1146"/>
        <v>四</v>
      </c>
      <c r="C1254" s="48">
        <f t="shared" si="1180"/>
        <v>0</v>
      </c>
      <c r="D1254" s="84">
        <f t="shared" si="1142"/>
        <v>0</v>
      </c>
      <c r="E1254" s="45">
        <f t="shared" si="1143"/>
        <v>0</v>
      </c>
      <c r="F1254" s="45">
        <f t="shared" si="1181"/>
        <v>0</v>
      </c>
      <c r="G1254" s="79">
        <f t="shared" si="1182"/>
        <v>0</v>
      </c>
      <c r="H1254" s="199">
        <v>0</v>
      </c>
      <c r="I1254" s="199">
        <v>1508</v>
      </c>
      <c r="J1254" s="200">
        <f t="shared" si="1046"/>
        <v>1508</v>
      </c>
      <c r="K1254" s="201">
        <f t="shared" si="1047"/>
        <v>1508</v>
      </c>
      <c r="L1254" s="254">
        <v>118</v>
      </c>
      <c r="M1254" s="249">
        <v>0.26041666666666669</v>
      </c>
      <c r="N1254" s="153">
        <v>202387</v>
      </c>
      <c r="O1254" s="153">
        <v>13883</v>
      </c>
      <c r="P1254" s="153">
        <v>10314</v>
      </c>
      <c r="Q1254" s="153"/>
      <c r="R1254" s="153">
        <v>43421</v>
      </c>
      <c r="S1254" s="154">
        <v>9927</v>
      </c>
      <c r="T1254" s="154"/>
      <c r="U1254" s="154"/>
      <c r="V1254" s="153">
        <v>293093</v>
      </c>
      <c r="W1254" s="153">
        <v>125705</v>
      </c>
      <c r="X1254" s="153">
        <v>106006</v>
      </c>
      <c r="Y1254" s="153">
        <v>92778</v>
      </c>
      <c r="Z1254" s="153">
        <v>202060</v>
      </c>
    </row>
    <row r="1255" spans="1:26" ht="18" hidden="1" customHeight="1" x14ac:dyDescent="0.2">
      <c r="A1255" s="47">
        <f t="shared" si="1042"/>
        <v>44106</v>
      </c>
      <c r="B1255" s="47" t="str">
        <f t="shared" si="1146"/>
        <v>五</v>
      </c>
      <c r="C1255" s="48">
        <f t="shared" si="1180"/>
        <v>0</v>
      </c>
      <c r="D1255" s="84">
        <f t="shared" si="1142"/>
        <v>0</v>
      </c>
      <c r="E1255" s="45">
        <f t="shared" si="1143"/>
        <v>0</v>
      </c>
      <c r="F1255" s="45">
        <f t="shared" si="1181"/>
        <v>0</v>
      </c>
      <c r="G1255" s="79">
        <f t="shared" si="1182"/>
        <v>0</v>
      </c>
      <c r="H1255" s="199">
        <v>823</v>
      </c>
      <c r="I1255" s="199">
        <v>527</v>
      </c>
      <c r="J1255" s="200">
        <f t="shared" si="1046"/>
        <v>1350</v>
      </c>
      <c r="K1255" s="201">
        <f t="shared" si="1047"/>
        <v>1350</v>
      </c>
      <c r="L1255" s="254">
        <v>63</v>
      </c>
      <c r="M1255" s="249" t="s">
        <v>176</v>
      </c>
      <c r="N1255" s="153">
        <v>202387</v>
      </c>
      <c r="O1255" s="153">
        <v>13883</v>
      </c>
      <c r="P1255" s="153">
        <v>10314</v>
      </c>
      <c r="Q1255" s="153"/>
      <c r="R1255" s="153">
        <v>43421</v>
      </c>
      <c r="S1255" s="154">
        <v>9927</v>
      </c>
      <c r="T1255" s="154"/>
      <c r="U1255" s="154"/>
      <c r="V1255" s="153">
        <v>293093</v>
      </c>
      <c r="W1255" s="153">
        <v>125705</v>
      </c>
      <c r="X1255" s="153">
        <v>106006</v>
      </c>
      <c r="Y1255" s="153">
        <v>92778</v>
      </c>
      <c r="Z1255" s="153">
        <v>202060</v>
      </c>
    </row>
    <row r="1256" spans="1:26" ht="18" hidden="1" customHeight="1" x14ac:dyDescent="0.2">
      <c r="A1256" s="47">
        <f t="shared" ref="A1256:A1319" si="1183">A1255+1</f>
        <v>44107</v>
      </c>
      <c r="B1256" s="47" t="str">
        <f t="shared" si="1146"/>
        <v>六</v>
      </c>
      <c r="C1256" s="48">
        <f t="shared" si="1180"/>
        <v>0</v>
      </c>
      <c r="D1256" s="84">
        <f t="shared" si="1142"/>
        <v>0</v>
      </c>
      <c r="E1256" s="45">
        <f t="shared" si="1143"/>
        <v>0</v>
      </c>
      <c r="F1256" s="45">
        <f t="shared" si="1181"/>
        <v>0</v>
      </c>
      <c r="G1256" s="79">
        <f t="shared" si="1182"/>
        <v>0</v>
      </c>
      <c r="H1256" s="199">
        <v>0</v>
      </c>
      <c r="I1256" s="199">
        <f>801+491</f>
        <v>1292</v>
      </c>
      <c r="J1256" s="200">
        <f t="shared" ref="J1256:J1284" si="1184">H1256+I1256</f>
        <v>1292</v>
      </c>
      <c r="K1256" s="201">
        <f t="shared" ref="K1256:K1284" si="1185">J1256-G1256</f>
        <v>1292</v>
      </c>
      <c r="L1256" s="254">
        <v>61</v>
      </c>
      <c r="M1256" s="249">
        <v>0.94791666666666663</v>
      </c>
      <c r="N1256" s="153">
        <v>202387</v>
      </c>
      <c r="O1256" s="153">
        <v>13883</v>
      </c>
      <c r="P1256" s="153">
        <v>10314</v>
      </c>
      <c r="Q1256" s="153"/>
      <c r="R1256" s="153">
        <v>43421</v>
      </c>
      <c r="S1256" s="154">
        <v>9927</v>
      </c>
      <c r="T1256" s="154"/>
      <c r="U1256" s="154"/>
      <c r="V1256" s="153">
        <v>293093</v>
      </c>
      <c r="W1256" s="153">
        <v>125705</v>
      </c>
      <c r="X1256" s="153">
        <v>106006</v>
      </c>
      <c r="Y1256" s="153">
        <v>92778</v>
      </c>
      <c r="Z1256" s="153">
        <v>202060</v>
      </c>
    </row>
    <row r="1257" spans="1:26" ht="18" hidden="1" customHeight="1" x14ac:dyDescent="0.2">
      <c r="A1257" s="47">
        <f t="shared" si="1183"/>
        <v>44108</v>
      </c>
      <c r="B1257" s="47" t="str">
        <f t="shared" si="1146"/>
        <v>日</v>
      </c>
      <c r="C1257" s="48">
        <f t="shared" si="1180"/>
        <v>3362</v>
      </c>
      <c r="D1257" s="84">
        <f t="shared" si="1142"/>
        <v>3672</v>
      </c>
      <c r="E1257" s="45">
        <f t="shared" si="1143"/>
        <v>235.99999999991269</v>
      </c>
      <c r="F1257" s="45">
        <f t="shared" si="1181"/>
        <v>353</v>
      </c>
      <c r="G1257" s="79">
        <f t="shared" si="1182"/>
        <v>7622.9999999999127</v>
      </c>
      <c r="H1257" s="199">
        <v>0</v>
      </c>
      <c r="I1257" s="199">
        <v>1352</v>
      </c>
      <c r="J1257" s="200">
        <f t="shared" si="1184"/>
        <v>1352</v>
      </c>
      <c r="K1257" s="201">
        <f t="shared" si="1185"/>
        <v>-6270.9999999999127</v>
      </c>
      <c r="L1257" s="254">
        <v>68</v>
      </c>
      <c r="M1257" s="249">
        <v>0.47916666666666669</v>
      </c>
      <c r="N1257" s="153">
        <v>202387</v>
      </c>
      <c r="O1257" s="153">
        <v>13883</v>
      </c>
      <c r="P1257" s="153">
        <v>10314</v>
      </c>
      <c r="Q1257" s="153"/>
      <c r="R1257" s="153">
        <v>43421</v>
      </c>
      <c r="S1257" s="154">
        <v>9927</v>
      </c>
      <c r="T1257" s="154"/>
      <c r="U1257" s="154"/>
      <c r="V1257" s="153">
        <v>293093</v>
      </c>
      <c r="W1257" s="153">
        <v>125705</v>
      </c>
      <c r="X1257" s="153">
        <v>106006</v>
      </c>
      <c r="Y1257" s="153">
        <v>92778</v>
      </c>
      <c r="Z1257" s="153">
        <v>202060</v>
      </c>
    </row>
    <row r="1258" spans="1:26" ht="18" hidden="1" customHeight="1" x14ac:dyDescent="0.2">
      <c r="A1258" s="47">
        <f t="shared" si="1183"/>
        <v>44109</v>
      </c>
      <c r="B1258" s="47" t="str">
        <f t="shared" si="1146"/>
        <v>一</v>
      </c>
      <c r="C1258" s="48">
        <f t="shared" ref="C1258" si="1186">(V1259-V1258)*1+(W1259-W1258)*32+(X1259-X1258)*12+(Y1259-Y1258)*6</f>
        <v>2248</v>
      </c>
      <c r="D1258" s="84">
        <f t="shared" si="1142"/>
        <v>880</v>
      </c>
      <c r="E1258" s="45">
        <f t="shared" si="1143"/>
        <v>65</v>
      </c>
      <c r="F1258" s="45">
        <f t="shared" ref="F1258" si="1187">(Z1259-Z1258)*1</f>
        <v>89</v>
      </c>
      <c r="G1258" s="79">
        <f t="shared" ref="G1258" si="1188">C1258+D1258+F1258+E1258</f>
        <v>3282</v>
      </c>
      <c r="H1258" s="199">
        <v>2728</v>
      </c>
      <c r="I1258" s="199">
        <v>584</v>
      </c>
      <c r="J1258" s="200">
        <f t="shared" si="1184"/>
        <v>3312</v>
      </c>
      <c r="K1258" s="201">
        <f t="shared" si="1185"/>
        <v>30</v>
      </c>
      <c r="L1258" s="254">
        <v>255</v>
      </c>
      <c r="M1258" s="249">
        <v>0.6875</v>
      </c>
      <c r="N1258" s="235">
        <v>202817</v>
      </c>
      <c r="O1258" s="235">
        <v>14043</v>
      </c>
      <c r="P1258" s="235">
        <v>10343</v>
      </c>
      <c r="Q1258" s="235"/>
      <c r="R1258" s="235">
        <v>43621</v>
      </c>
      <c r="S1258" s="236">
        <v>9927.2999999999993</v>
      </c>
      <c r="T1258" s="236"/>
      <c r="U1258" s="236"/>
      <c r="V1258" s="235">
        <v>293799</v>
      </c>
      <c r="W1258" s="235">
        <v>125767</v>
      </c>
      <c r="X1258" s="235">
        <v>106062</v>
      </c>
      <c r="Y1258" s="235">
        <v>92778</v>
      </c>
      <c r="Z1258" s="235">
        <v>202413</v>
      </c>
    </row>
    <row r="1259" spans="1:26" ht="18" hidden="1" customHeight="1" x14ac:dyDescent="0.2">
      <c r="A1259" s="47">
        <f t="shared" si="1183"/>
        <v>44110</v>
      </c>
      <c r="B1259" s="47" t="str">
        <f t="shared" si="1146"/>
        <v>二</v>
      </c>
      <c r="C1259" s="48">
        <f t="shared" ref="C1259" si="1189">(V1260-V1259)*1+(W1260-W1259)*32+(X1260-X1259)*12+(Y1260-Y1259)*6</f>
        <v>2239</v>
      </c>
      <c r="D1259" s="84">
        <f t="shared" si="1142"/>
        <v>768</v>
      </c>
      <c r="E1259" s="45">
        <f t="shared" si="1143"/>
        <v>66</v>
      </c>
      <c r="F1259" s="45">
        <f t="shared" ref="F1259" si="1190">(Z1260-Z1259)*1</f>
        <v>60</v>
      </c>
      <c r="G1259" s="79">
        <f t="shared" ref="G1259" si="1191">C1259+D1259+F1259+E1259</f>
        <v>3133</v>
      </c>
      <c r="H1259" s="199">
        <v>2725</v>
      </c>
      <c r="I1259" s="199">
        <v>626</v>
      </c>
      <c r="J1259" s="200">
        <f t="shared" si="1184"/>
        <v>3351</v>
      </c>
      <c r="K1259" s="201">
        <f t="shared" si="1185"/>
        <v>218</v>
      </c>
      <c r="L1259" s="254">
        <v>247</v>
      </c>
      <c r="M1259" s="249">
        <v>0.39583333333333331</v>
      </c>
      <c r="N1259" s="235">
        <v>202917</v>
      </c>
      <c r="O1259" s="235">
        <v>14080</v>
      </c>
      <c r="P1259" s="235">
        <v>10353</v>
      </c>
      <c r="Q1259" s="235"/>
      <c r="R1259" s="235">
        <v>43686</v>
      </c>
      <c r="S1259" s="236">
        <v>9927.2999999999993</v>
      </c>
      <c r="T1259" s="236"/>
      <c r="U1259" s="236"/>
      <c r="V1259" s="235">
        <v>293987</v>
      </c>
      <c r="W1259" s="235">
        <v>125804</v>
      </c>
      <c r="X1259" s="235">
        <v>106135</v>
      </c>
      <c r="Y1259" s="235">
        <v>92778</v>
      </c>
      <c r="Z1259" s="235">
        <v>202502</v>
      </c>
    </row>
    <row r="1260" spans="1:26" ht="18" hidden="1" customHeight="1" x14ac:dyDescent="0.2">
      <c r="A1260" s="47">
        <f t="shared" si="1183"/>
        <v>44111</v>
      </c>
      <c r="B1260" s="47" t="str">
        <f t="shared" si="1146"/>
        <v>三</v>
      </c>
      <c r="C1260" s="48">
        <f t="shared" ref="C1260" si="1192">(V1261-V1260)*1+(W1261-W1260)*32+(X1261-X1260)*12+(Y1261-Y1260)*6</f>
        <v>2262</v>
      </c>
      <c r="D1260" s="84">
        <f t="shared" si="1142"/>
        <v>1032</v>
      </c>
      <c r="E1260" s="45">
        <f t="shared" si="1143"/>
        <v>64</v>
      </c>
      <c r="F1260" s="45">
        <f t="shared" ref="F1260" si="1193">(Z1261-Z1260)*1</f>
        <v>59</v>
      </c>
      <c r="G1260" s="79">
        <f t="shared" ref="G1260" si="1194">C1260+D1260+F1260+E1260</f>
        <v>3417</v>
      </c>
      <c r="H1260" s="199">
        <v>2853</v>
      </c>
      <c r="I1260" s="199">
        <v>602</v>
      </c>
      <c r="J1260" s="200">
        <f t="shared" si="1184"/>
        <v>3455</v>
      </c>
      <c r="K1260" s="201">
        <f t="shared" si="1185"/>
        <v>38</v>
      </c>
      <c r="L1260" s="254">
        <v>242</v>
      </c>
      <c r="M1260" s="249">
        <v>0.46875</v>
      </c>
      <c r="N1260" s="235">
        <v>203007</v>
      </c>
      <c r="O1260" s="235">
        <v>14112</v>
      </c>
      <c r="P1260" s="235">
        <v>10359</v>
      </c>
      <c r="Q1260" s="235"/>
      <c r="R1260" s="235">
        <v>43752</v>
      </c>
      <c r="S1260" s="236">
        <v>9927.2999999999993</v>
      </c>
      <c r="T1260" s="236"/>
      <c r="U1260" s="236"/>
      <c r="V1260" s="235">
        <v>294170</v>
      </c>
      <c r="W1260" s="235">
        <v>125839</v>
      </c>
      <c r="X1260" s="235">
        <v>106213</v>
      </c>
      <c r="Y1260" s="235">
        <v>92778</v>
      </c>
      <c r="Z1260" s="235">
        <v>202562</v>
      </c>
    </row>
    <row r="1261" spans="1:26" ht="18" hidden="1" customHeight="1" x14ac:dyDescent="0.2">
      <c r="A1261" s="47">
        <f t="shared" si="1183"/>
        <v>44112</v>
      </c>
      <c r="B1261" s="47" t="str">
        <f t="shared" si="1146"/>
        <v>四</v>
      </c>
      <c r="C1261" s="48">
        <f t="shared" ref="C1261:C1264" si="1195">(V1262-V1261)*1+(W1262-W1261)*32+(X1262-X1261)*12+(Y1262-Y1261)*6</f>
        <v>0</v>
      </c>
      <c r="D1261" s="84">
        <f t="shared" si="1142"/>
        <v>0</v>
      </c>
      <c r="E1261" s="45">
        <f t="shared" si="1143"/>
        <v>0</v>
      </c>
      <c r="F1261" s="45">
        <f t="shared" ref="F1261:F1264" si="1196">(Z1262-Z1261)*1</f>
        <v>0</v>
      </c>
      <c r="G1261" s="79">
        <f t="shared" ref="G1261:G1264" si="1197">C1261+D1261+F1261+E1261</f>
        <v>0</v>
      </c>
      <c r="H1261" s="199">
        <v>2444</v>
      </c>
      <c r="I1261" s="199">
        <v>680</v>
      </c>
      <c r="J1261" s="200">
        <f t="shared" si="1184"/>
        <v>3124</v>
      </c>
      <c r="K1261" s="201">
        <f t="shared" si="1185"/>
        <v>3124</v>
      </c>
      <c r="L1261" s="254">
        <v>248</v>
      </c>
      <c r="M1261" s="249">
        <v>0.92708333333333337</v>
      </c>
      <c r="N1261" s="235">
        <v>203127</v>
      </c>
      <c r="O1261" s="235">
        <v>14156</v>
      </c>
      <c r="P1261" s="235">
        <v>10368</v>
      </c>
      <c r="Q1261" s="235"/>
      <c r="R1261" s="235">
        <v>43816</v>
      </c>
      <c r="S1261" s="236">
        <v>9927.2999999999993</v>
      </c>
      <c r="T1261" s="236"/>
      <c r="U1261" s="236"/>
      <c r="V1261" s="235">
        <v>294352</v>
      </c>
      <c r="W1261" s="235">
        <v>125874</v>
      </c>
      <c r="X1261" s="235">
        <v>106293</v>
      </c>
      <c r="Y1261" s="235">
        <v>92778</v>
      </c>
      <c r="Z1261" s="235">
        <v>202621</v>
      </c>
    </row>
    <row r="1262" spans="1:26" ht="18" hidden="1" customHeight="1" x14ac:dyDescent="0.2">
      <c r="A1262" s="47">
        <f t="shared" si="1183"/>
        <v>44113</v>
      </c>
      <c r="B1262" s="47" t="str">
        <f t="shared" si="1146"/>
        <v>五</v>
      </c>
      <c r="C1262" s="48">
        <f t="shared" si="1195"/>
        <v>0</v>
      </c>
      <c r="D1262" s="84">
        <f t="shared" si="1142"/>
        <v>0</v>
      </c>
      <c r="E1262" s="45">
        <f t="shared" si="1143"/>
        <v>0</v>
      </c>
      <c r="F1262" s="45">
        <f t="shared" si="1196"/>
        <v>0</v>
      </c>
      <c r="G1262" s="79">
        <f t="shared" si="1197"/>
        <v>0</v>
      </c>
      <c r="H1262" s="199">
        <v>936</v>
      </c>
      <c r="I1262" s="199">
        <v>591</v>
      </c>
      <c r="J1262" s="200">
        <f t="shared" si="1184"/>
        <v>1527</v>
      </c>
      <c r="K1262" s="201">
        <f t="shared" si="1185"/>
        <v>1527</v>
      </c>
      <c r="L1262" s="254">
        <v>70</v>
      </c>
      <c r="M1262" s="249">
        <v>9.375E-2</v>
      </c>
      <c r="N1262" s="153">
        <v>203127</v>
      </c>
      <c r="O1262" s="153">
        <v>14156</v>
      </c>
      <c r="P1262" s="153">
        <v>10368</v>
      </c>
      <c r="Q1262" s="153"/>
      <c r="R1262" s="153">
        <v>43816</v>
      </c>
      <c r="S1262" s="154">
        <v>9927.2999999999993</v>
      </c>
      <c r="T1262" s="154"/>
      <c r="U1262" s="154"/>
      <c r="V1262" s="153">
        <v>294352</v>
      </c>
      <c r="W1262" s="153">
        <v>125874</v>
      </c>
      <c r="X1262" s="153">
        <v>106293</v>
      </c>
      <c r="Y1262" s="153">
        <v>92778</v>
      </c>
      <c r="Z1262" s="153">
        <v>202621</v>
      </c>
    </row>
    <row r="1263" spans="1:26" ht="18" hidden="1" customHeight="1" x14ac:dyDescent="0.2">
      <c r="A1263" s="47">
        <f t="shared" si="1183"/>
        <v>44114</v>
      </c>
      <c r="B1263" s="47" t="str">
        <f t="shared" si="1146"/>
        <v>六</v>
      </c>
      <c r="C1263" s="48">
        <f t="shared" si="1195"/>
        <v>0</v>
      </c>
      <c r="D1263" s="84">
        <f t="shared" si="1142"/>
        <v>0</v>
      </c>
      <c r="E1263" s="45">
        <f t="shared" si="1143"/>
        <v>0</v>
      </c>
      <c r="F1263" s="45">
        <f t="shared" si="1196"/>
        <v>0</v>
      </c>
      <c r="G1263" s="79">
        <f t="shared" si="1197"/>
        <v>0</v>
      </c>
      <c r="H1263" s="199">
        <v>0</v>
      </c>
      <c r="I1263" s="199">
        <v>1518</v>
      </c>
      <c r="J1263" s="200">
        <f t="shared" si="1184"/>
        <v>1518</v>
      </c>
      <c r="K1263" s="201">
        <f t="shared" si="1185"/>
        <v>1518</v>
      </c>
      <c r="L1263" s="254">
        <v>70</v>
      </c>
      <c r="M1263" s="249" t="s">
        <v>177</v>
      </c>
      <c r="N1263" s="153">
        <v>203127</v>
      </c>
      <c r="O1263" s="153">
        <v>14156</v>
      </c>
      <c r="P1263" s="153">
        <v>10368</v>
      </c>
      <c r="Q1263" s="153"/>
      <c r="R1263" s="153">
        <v>43816</v>
      </c>
      <c r="S1263" s="154">
        <v>9927.2999999999993</v>
      </c>
      <c r="T1263" s="154"/>
      <c r="U1263" s="154"/>
      <c r="V1263" s="153">
        <v>294352</v>
      </c>
      <c r="W1263" s="153">
        <v>125874</v>
      </c>
      <c r="X1263" s="153">
        <v>106293</v>
      </c>
      <c r="Y1263" s="153">
        <v>92778</v>
      </c>
      <c r="Z1263" s="153">
        <v>202621</v>
      </c>
    </row>
    <row r="1264" spans="1:26" ht="18" hidden="1" customHeight="1" x14ac:dyDescent="0.2">
      <c r="A1264" s="47">
        <f t="shared" si="1183"/>
        <v>44115</v>
      </c>
      <c r="B1264" s="47" t="str">
        <f t="shared" si="1146"/>
        <v>日</v>
      </c>
      <c r="C1264" s="48">
        <f t="shared" si="1195"/>
        <v>3044</v>
      </c>
      <c r="D1264" s="84">
        <f t="shared" si="1142"/>
        <v>3784</v>
      </c>
      <c r="E1264" s="45">
        <f t="shared" si="1143"/>
        <v>145</v>
      </c>
      <c r="F1264" s="45">
        <f t="shared" si="1196"/>
        <v>269</v>
      </c>
      <c r="G1264" s="79">
        <f t="shared" si="1197"/>
        <v>7242</v>
      </c>
      <c r="H1264" s="199">
        <v>0</v>
      </c>
      <c r="I1264" s="199">
        <v>1587</v>
      </c>
      <c r="J1264" s="200">
        <f t="shared" si="1184"/>
        <v>1587</v>
      </c>
      <c r="K1264" s="201">
        <f t="shared" si="1185"/>
        <v>-5655</v>
      </c>
      <c r="L1264" s="254">
        <v>73</v>
      </c>
      <c r="M1264" s="249">
        <v>0.98958333333333337</v>
      </c>
      <c r="N1264" s="153">
        <v>203127</v>
      </c>
      <c r="O1264" s="153">
        <v>14156</v>
      </c>
      <c r="P1264" s="153">
        <v>10368</v>
      </c>
      <c r="Q1264" s="153"/>
      <c r="R1264" s="153">
        <v>43816</v>
      </c>
      <c r="S1264" s="154">
        <v>9927.2999999999993</v>
      </c>
      <c r="T1264" s="154"/>
      <c r="U1264" s="154"/>
      <c r="V1264" s="153">
        <v>294352</v>
      </c>
      <c r="W1264" s="153">
        <v>125874</v>
      </c>
      <c r="X1264" s="153">
        <v>106293</v>
      </c>
      <c r="Y1264" s="153">
        <v>92778</v>
      </c>
      <c r="Z1264" s="153">
        <v>202621</v>
      </c>
    </row>
    <row r="1265" spans="1:26" ht="18" hidden="1" customHeight="1" x14ac:dyDescent="0.2">
      <c r="A1265" s="47">
        <f t="shared" si="1183"/>
        <v>44116</v>
      </c>
      <c r="B1265" s="47" t="str">
        <f t="shared" si="1146"/>
        <v>一</v>
      </c>
      <c r="C1265" s="48">
        <f t="shared" ref="C1265" si="1198">(V1266-V1265)*1+(W1266-W1265)*32+(X1266-X1265)*12+(Y1266-Y1265)*6</f>
        <v>2659</v>
      </c>
      <c r="D1265" s="84">
        <f t="shared" si="1142"/>
        <v>1168</v>
      </c>
      <c r="E1265" s="45">
        <f t="shared" si="1143"/>
        <v>40</v>
      </c>
      <c r="F1265" s="45">
        <f t="shared" ref="F1265" si="1199">(Z1266-Z1265)*1</f>
        <v>55</v>
      </c>
      <c r="G1265" s="79">
        <f t="shared" ref="G1265" si="1200">C1265+D1265+F1265+E1265</f>
        <v>3922</v>
      </c>
      <c r="H1265" s="199">
        <v>2953</v>
      </c>
      <c r="I1265" s="199">
        <v>753</v>
      </c>
      <c r="J1265" s="200">
        <f t="shared" si="1184"/>
        <v>3706</v>
      </c>
      <c r="K1265" s="201">
        <f t="shared" si="1185"/>
        <v>-216</v>
      </c>
      <c r="L1265" s="254">
        <v>266</v>
      </c>
      <c r="M1265" s="249">
        <v>0.36458333333333331</v>
      </c>
      <c r="N1265" s="235">
        <v>203577</v>
      </c>
      <c r="O1265" s="235">
        <v>14326</v>
      </c>
      <c r="P1265" s="235">
        <v>10391</v>
      </c>
      <c r="Q1265" s="235"/>
      <c r="R1265" s="235">
        <v>43961</v>
      </c>
      <c r="S1265" s="236">
        <v>9927.2999999999993</v>
      </c>
      <c r="T1265" s="236"/>
      <c r="U1265" s="236"/>
      <c r="V1265" s="235">
        <v>294936</v>
      </c>
      <c r="W1265" s="235">
        <v>125931</v>
      </c>
      <c r="X1265" s="235">
        <v>106346</v>
      </c>
      <c r="Y1265" s="235">
        <v>92778</v>
      </c>
      <c r="Z1265" s="235">
        <v>202890</v>
      </c>
    </row>
    <row r="1266" spans="1:26" ht="18" hidden="1" customHeight="1" x14ac:dyDescent="0.2">
      <c r="A1266" s="47">
        <f t="shared" si="1183"/>
        <v>44117</v>
      </c>
      <c r="B1266" s="47" t="str">
        <f t="shared" si="1146"/>
        <v>二</v>
      </c>
      <c r="C1266" s="48">
        <f t="shared" ref="C1266" si="1201">(V1267-V1266)*1+(W1267-W1266)*32+(X1267-X1266)*12+(Y1267-Y1266)*6</f>
        <v>1914</v>
      </c>
      <c r="D1266" s="84">
        <f t="shared" si="1142"/>
        <v>1048</v>
      </c>
      <c r="E1266" s="45">
        <f t="shared" si="1143"/>
        <v>38</v>
      </c>
      <c r="F1266" s="45">
        <f t="shared" ref="F1266" si="1202">(Z1267-Z1266)*1</f>
        <v>71</v>
      </c>
      <c r="G1266" s="79">
        <f t="shared" ref="G1266" si="1203">C1266+D1266+F1266+E1266</f>
        <v>3071</v>
      </c>
      <c r="H1266" s="199">
        <v>2907</v>
      </c>
      <c r="I1266" s="199">
        <v>704</v>
      </c>
      <c r="J1266" s="200">
        <f t="shared" si="1184"/>
        <v>3611</v>
      </c>
      <c r="K1266" s="201">
        <f t="shared" si="1185"/>
        <v>540</v>
      </c>
      <c r="L1266" s="254">
        <v>250</v>
      </c>
      <c r="M1266" s="249">
        <v>0.36458333333333331</v>
      </c>
      <c r="N1266" s="235">
        <v>203717</v>
      </c>
      <c r="O1266" s="235">
        <v>14379</v>
      </c>
      <c r="P1266" s="235">
        <v>10397</v>
      </c>
      <c r="Q1266" s="235"/>
      <c r="R1266" s="235">
        <v>44001</v>
      </c>
      <c r="S1266" s="236">
        <v>9927.2999999999993</v>
      </c>
      <c r="T1266" s="236"/>
      <c r="U1266" s="236"/>
      <c r="V1266" s="235">
        <v>295135</v>
      </c>
      <c r="W1266" s="235">
        <v>125979</v>
      </c>
      <c r="X1266" s="235">
        <v>106423</v>
      </c>
      <c r="Y1266" s="235">
        <v>92778</v>
      </c>
      <c r="Z1266" s="235">
        <v>202945</v>
      </c>
    </row>
    <row r="1267" spans="1:26" ht="18" hidden="1" customHeight="1" x14ac:dyDescent="0.2">
      <c r="A1267" s="47">
        <f t="shared" si="1183"/>
        <v>44118</v>
      </c>
      <c r="B1267" s="47" t="str">
        <f t="shared" si="1146"/>
        <v>三</v>
      </c>
      <c r="C1267" s="48">
        <f t="shared" ref="C1267" si="1204">(V1268-V1267)*1+(W1268-W1267)*32+(X1268-X1267)*12+(Y1268-Y1267)*6</f>
        <v>1981</v>
      </c>
      <c r="D1267" s="84">
        <f t="shared" si="1142"/>
        <v>1032</v>
      </c>
      <c r="E1267" s="45">
        <f t="shared" si="1143"/>
        <v>53</v>
      </c>
      <c r="F1267" s="45">
        <f t="shared" ref="F1267" si="1205">(Z1268-Z1267)*1</f>
        <v>66</v>
      </c>
      <c r="G1267" s="79">
        <f t="shared" ref="G1267" si="1206">C1267+D1267+F1267+E1267</f>
        <v>3132</v>
      </c>
      <c r="H1267" s="199">
        <v>2529</v>
      </c>
      <c r="I1267" s="199">
        <v>675</v>
      </c>
      <c r="J1267" s="200">
        <f t="shared" si="1184"/>
        <v>3204</v>
      </c>
      <c r="K1267" s="201">
        <f t="shared" si="1185"/>
        <v>72</v>
      </c>
      <c r="L1267" s="254">
        <v>236</v>
      </c>
      <c r="M1267" s="249" t="s">
        <v>178</v>
      </c>
      <c r="N1267" s="235">
        <v>203837</v>
      </c>
      <c r="O1267" s="235">
        <v>14424</v>
      </c>
      <c r="P1267" s="235">
        <v>10408</v>
      </c>
      <c r="Q1267" s="235"/>
      <c r="R1267" s="235">
        <v>44039</v>
      </c>
      <c r="S1267" s="236">
        <v>9927.2999999999993</v>
      </c>
      <c r="T1267" s="236"/>
      <c r="U1267" s="236"/>
      <c r="V1267" s="235">
        <v>295329</v>
      </c>
      <c r="W1267" s="235">
        <v>126005</v>
      </c>
      <c r="X1267" s="235">
        <v>106497</v>
      </c>
      <c r="Y1267" s="235">
        <v>92778</v>
      </c>
      <c r="Z1267" s="235">
        <v>203016</v>
      </c>
    </row>
    <row r="1268" spans="1:26" ht="18" hidden="1" customHeight="1" x14ac:dyDescent="0.2">
      <c r="A1268" s="47">
        <f t="shared" si="1183"/>
        <v>44119</v>
      </c>
      <c r="B1268" s="47" t="str">
        <f t="shared" si="1146"/>
        <v>四</v>
      </c>
      <c r="C1268" s="48">
        <f t="shared" ref="C1268" si="1207">(V1269-V1268)*1+(W1269-W1268)*32+(X1269-X1268)*12+(Y1269-Y1268)*6</f>
        <v>2097</v>
      </c>
      <c r="D1268" s="84">
        <f t="shared" si="1142"/>
        <v>1016</v>
      </c>
      <c r="E1268" s="45">
        <f t="shared" si="1143"/>
        <v>35</v>
      </c>
      <c r="F1268" s="45">
        <f t="shared" ref="F1268" si="1208">(Z1269-Z1268)*1</f>
        <v>57</v>
      </c>
      <c r="G1268" s="79">
        <f t="shared" ref="G1268" si="1209">C1268+D1268+F1268+E1268</f>
        <v>3205</v>
      </c>
      <c r="H1268" s="199">
        <v>2644</v>
      </c>
      <c r="I1268" s="199">
        <v>667</v>
      </c>
      <c r="J1268" s="200">
        <f t="shared" si="1184"/>
        <v>3311</v>
      </c>
      <c r="K1268" s="201">
        <f t="shared" si="1185"/>
        <v>106</v>
      </c>
      <c r="L1268" s="254">
        <v>249</v>
      </c>
      <c r="M1268" s="249">
        <v>0.45833333333333331</v>
      </c>
      <c r="N1268" s="235">
        <v>203957</v>
      </c>
      <c r="O1268" s="235">
        <v>14467</v>
      </c>
      <c r="P1268" s="235">
        <v>10417</v>
      </c>
      <c r="Q1268" s="235"/>
      <c r="R1268" s="235">
        <v>44092</v>
      </c>
      <c r="S1268" s="236">
        <v>9927.2999999999993</v>
      </c>
      <c r="T1268" s="236"/>
      <c r="U1268" s="236"/>
      <c r="V1268" s="235">
        <v>295506</v>
      </c>
      <c r="W1268" s="235">
        <v>126037</v>
      </c>
      <c r="X1268" s="235">
        <v>106562</v>
      </c>
      <c r="Y1268" s="235">
        <v>92778</v>
      </c>
      <c r="Z1268" s="235">
        <v>203082</v>
      </c>
    </row>
    <row r="1269" spans="1:26" ht="18" hidden="1" customHeight="1" x14ac:dyDescent="0.2">
      <c r="A1269" s="47">
        <f t="shared" si="1183"/>
        <v>44120</v>
      </c>
      <c r="B1269" s="47" t="str">
        <f t="shared" si="1146"/>
        <v>五</v>
      </c>
      <c r="C1269" s="48">
        <f t="shared" ref="C1269:C1271" si="1210">(V1270-V1269)*1+(W1270-W1269)*32+(X1270-X1269)*12+(Y1270-Y1269)*6</f>
        <v>0</v>
      </c>
      <c r="D1269" s="84">
        <f t="shared" si="1142"/>
        <v>0</v>
      </c>
      <c r="E1269" s="45">
        <f t="shared" si="1143"/>
        <v>0</v>
      </c>
      <c r="F1269" s="45">
        <f t="shared" ref="F1269:F1271" si="1211">(Z1270-Z1269)*1</f>
        <v>0</v>
      </c>
      <c r="G1269" s="79">
        <f t="shared" ref="G1269:G1271" si="1212">C1269+D1269+F1269+E1269</f>
        <v>0</v>
      </c>
      <c r="H1269" s="199">
        <v>2385</v>
      </c>
      <c r="I1269" s="199">
        <v>729</v>
      </c>
      <c r="J1269" s="200">
        <f t="shared" si="1184"/>
        <v>3114</v>
      </c>
      <c r="K1269" s="201">
        <f t="shared" si="1185"/>
        <v>3114</v>
      </c>
      <c r="L1269" s="254">
        <v>247</v>
      </c>
      <c r="M1269" s="249">
        <v>0.46875</v>
      </c>
      <c r="N1269" s="235">
        <v>204077</v>
      </c>
      <c r="O1269" s="235">
        <v>14514</v>
      </c>
      <c r="P1269" s="235">
        <v>10424</v>
      </c>
      <c r="Q1269" s="235"/>
      <c r="R1269" s="235">
        <v>44127</v>
      </c>
      <c r="S1269" s="236">
        <v>9927.2999999999993</v>
      </c>
      <c r="T1269" s="236"/>
      <c r="U1269" s="236"/>
      <c r="V1269" s="235">
        <v>295687</v>
      </c>
      <c r="W1269" s="235">
        <v>126071</v>
      </c>
      <c r="X1269" s="235">
        <v>106631</v>
      </c>
      <c r="Y1269" s="235">
        <v>92778</v>
      </c>
      <c r="Z1269" s="235">
        <v>203139</v>
      </c>
    </row>
    <row r="1270" spans="1:26" ht="18" hidden="1" customHeight="1" x14ac:dyDescent="0.2">
      <c r="A1270" s="47">
        <f t="shared" si="1183"/>
        <v>44121</v>
      </c>
      <c r="B1270" s="47" t="str">
        <f t="shared" si="1146"/>
        <v>六</v>
      </c>
      <c r="C1270" s="48">
        <f t="shared" si="1210"/>
        <v>0</v>
      </c>
      <c r="D1270" s="84">
        <f t="shared" si="1142"/>
        <v>0</v>
      </c>
      <c r="E1270" s="45">
        <f t="shared" si="1143"/>
        <v>0</v>
      </c>
      <c r="F1270" s="45">
        <f t="shared" si="1211"/>
        <v>0</v>
      </c>
      <c r="G1270" s="79">
        <f t="shared" si="1212"/>
        <v>0</v>
      </c>
      <c r="H1270" s="199">
        <v>0</v>
      </c>
      <c r="I1270" s="199">
        <f>1076+666</f>
        <v>1742</v>
      </c>
      <c r="J1270" s="200">
        <f t="shared" si="1184"/>
        <v>1742</v>
      </c>
      <c r="K1270" s="201">
        <f t="shared" si="1185"/>
        <v>1742</v>
      </c>
      <c r="L1270" s="254">
        <v>81</v>
      </c>
      <c r="M1270" s="249">
        <v>0.13541666666666666</v>
      </c>
      <c r="N1270" s="153">
        <v>204077</v>
      </c>
      <c r="O1270" s="153">
        <v>14514</v>
      </c>
      <c r="P1270" s="153">
        <v>10424</v>
      </c>
      <c r="Q1270" s="153"/>
      <c r="R1270" s="153">
        <v>44127</v>
      </c>
      <c r="S1270" s="154">
        <v>9927.2999999999993</v>
      </c>
      <c r="T1270" s="154"/>
      <c r="U1270" s="154"/>
      <c r="V1270" s="153">
        <v>295687</v>
      </c>
      <c r="W1270" s="153">
        <v>126071</v>
      </c>
      <c r="X1270" s="153">
        <v>106631</v>
      </c>
      <c r="Y1270" s="153">
        <v>92778</v>
      </c>
      <c r="Z1270" s="153">
        <v>203139</v>
      </c>
    </row>
    <row r="1271" spans="1:26" ht="18" hidden="1" customHeight="1" x14ac:dyDescent="0.2">
      <c r="A1271" s="47">
        <f t="shared" si="1183"/>
        <v>44122</v>
      </c>
      <c r="B1271" s="47" t="str">
        <f t="shared" si="1146"/>
        <v>日</v>
      </c>
      <c r="C1271" s="48">
        <f t="shared" si="1210"/>
        <v>2643</v>
      </c>
      <c r="D1271" s="84">
        <f t="shared" si="1142"/>
        <v>2136</v>
      </c>
      <c r="E1271" s="45">
        <f t="shared" si="1143"/>
        <v>127</v>
      </c>
      <c r="F1271" s="45">
        <f t="shared" si="1211"/>
        <v>192</v>
      </c>
      <c r="G1271" s="79">
        <f t="shared" si="1212"/>
        <v>5098</v>
      </c>
      <c r="H1271" s="199">
        <v>0</v>
      </c>
      <c r="I1271" s="199">
        <v>935</v>
      </c>
      <c r="J1271" s="200">
        <f t="shared" si="1184"/>
        <v>935</v>
      </c>
      <c r="K1271" s="201">
        <f t="shared" si="1185"/>
        <v>-4163</v>
      </c>
      <c r="L1271" s="254">
        <v>74</v>
      </c>
      <c r="M1271" s="249" t="s">
        <v>179</v>
      </c>
      <c r="N1271" s="153">
        <v>204077</v>
      </c>
      <c r="O1271" s="153">
        <v>14514</v>
      </c>
      <c r="P1271" s="153">
        <v>10424</v>
      </c>
      <c r="Q1271" s="153"/>
      <c r="R1271" s="153">
        <v>44127</v>
      </c>
      <c r="S1271" s="154">
        <v>9927.2999999999993</v>
      </c>
      <c r="T1271" s="154"/>
      <c r="U1271" s="154"/>
      <c r="V1271" s="153">
        <v>295687</v>
      </c>
      <c r="W1271" s="153">
        <v>126071</v>
      </c>
      <c r="X1271" s="153">
        <v>106631</v>
      </c>
      <c r="Y1271" s="153">
        <v>92778</v>
      </c>
      <c r="Z1271" s="153">
        <v>203139</v>
      </c>
    </row>
    <row r="1272" spans="1:26" ht="18" hidden="1" customHeight="1" x14ac:dyDescent="0.2">
      <c r="A1272" s="47">
        <f t="shared" si="1183"/>
        <v>44123</v>
      </c>
      <c r="B1272" s="47" t="str">
        <f t="shared" si="1146"/>
        <v>一</v>
      </c>
      <c r="C1272" s="48">
        <f t="shared" ref="C1272" si="1213">(V1273-V1272)*1+(W1273-W1272)*32+(X1273-X1272)*12+(Y1273-Y1272)*6</f>
        <v>2139</v>
      </c>
      <c r="D1272" s="84">
        <f t="shared" si="1142"/>
        <v>1088</v>
      </c>
      <c r="E1272" s="45">
        <f t="shared" si="1143"/>
        <v>7</v>
      </c>
      <c r="F1272" s="45">
        <f t="shared" ref="F1272" si="1214">(Z1273-Z1272)*1</f>
        <v>70</v>
      </c>
      <c r="G1272" s="79">
        <f t="shared" ref="G1272" si="1215">C1272+D1272+F1272+E1272</f>
        <v>3304</v>
      </c>
      <c r="H1272" s="199">
        <v>2743</v>
      </c>
      <c r="I1272" s="199">
        <v>371</v>
      </c>
      <c r="J1272" s="200">
        <f t="shared" si="1184"/>
        <v>3114</v>
      </c>
      <c r="K1272" s="201">
        <f t="shared" si="1185"/>
        <v>-190</v>
      </c>
      <c r="L1272" s="254">
        <v>253</v>
      </c>
      <c r="M1272" s="249">
        <v>0.45833333333333331</v>
      </c>
      <c r="N1272" s="235">
        <v>204327</v>
      </c>
      <c r="O1272" s="235">
        <v>14604</v>
      </c>
      <c r="P1272" s="235">
        <v>10441</v>
      </c>
      <c r="Q1272" s="235"/>
      <c r="R1272" s="235">
        <v>44254</v>
      </c>
      <c r="S1272" s="236">
        <v>9927.2999999999993</v>
      </c>
      <c r="T1272" s="236"/>
      <c r="U1272" s="236"/>
      <c r="V1272" s="235">
        <v>296126</v>
      </c>
      <c r="W1272" s="235">
        <v>126120</v>
      </c>
      <c r="X1272" s="235">
        <v>106684</v>
      </c>
      <c r="Y1272" s="235">
        <v>92778</v>
      </c>
      <c r="Z1272" s="235">
        <v>203331</v>
      </c>
    </row>
    <row r="1273" spans="1:26" ht="18" hidden="1" customHeight="1" x14ac:dyDescent="0.2">
      <c r="A1273" s="47">
        <f t="shared" si="1183"/>
        <v>44124</v>
      </c>
      <c r="B1273" s="47" t="str">
        <f t="shared" si="1146"/>
        <v>二</v>
      </c>
      <c r="C1273" s="48">
        <f t="shared" ref="C1273" si="1216">(V1274-V1273)*1+(W1274-W1273)*32+(X1274-X1273)*12+(Y1274-Y1273)*6</f>
        <v>2006</v>
      </c>
      <c r="D1273" s="84">
        <f t="shared" si="1142"/>
        <v>1008</v>
      </c>
      <c r="E1273" s="45">
        <f t="shared" si="1143"/>
        <v>70</v>
      </c>
      <c r="F1273" s="45">
        <f t="shared" ref="F1273" si="1217">(Z1274-Z1273)*1</f>
        <v>76</v>
      </c>
      <c r="G1273" s="79">
        <f t="shared" ref="G1273" si="1218">C1273+D1273+F1273+E1273</f>
        <v>3160</v>
      </c>
      <c r="H1273" s="199">
        <v>2624</v>
      </c>
      <c r="I1273" s="199">
        <v>701</v>
      </c>
      <c r="J1273" s="200">
        <f t="shared" si="1184"/>
        <v>3325</v>
      </c>
      <c r="K1273" s="201">
        <f t="shared" si="1185"/>
        <v>165</v>
      </c>
      <c r="L1273" s="254">
        <v>260</v>
      </c>
      <c r="M1273" s="249">
        <v>0.39583333333333331</v>
      </c>
      <c r="N1273" s="235">
        <v>204457</v>
      </c>
      <c r="O1273" s="235">
        <v>14652</v>
      </c>
      <c r="P1273" s="235">
        <v>10447</v>
      </c>
      <c r="Q1273" s="235"/>
      <c r="R1273" s="235">
        <v>44261</v>
      </c>
      <c r="S1273" s="236">
        <v>9927.2999999999993</v>
      </c>
      <c r="T1273" s="236"/>
      <c r="U1273" s="236"/>
      <c r="V1273" s="235">
        <v>296273</v>
      </c>
      <c r="W1273" s="235">
        <v>126153</v>
      </c>
      <c r="X1273" s="235">
        <v>106762</v>
      </c>
      <c r="Y1273" s="235">
        <v>92778</v>
      </c>
      <c r="Z1273" s="235">
        <v>203401</v>
      </c>
    </row>
    <row r="1274" spans="1:26" ht="18" hidden="1" customHeight="1" x14ac:dyDescent="0.2">
      <c r="A1274" s="47">
        <f t="shared" si="1183"/>
        <v>44125</v>
      </c>
      <c r="B1274" s="47" t="str">
        <f t="shared" si="1146"/>
        <v>三</v>
      </c>
      <c r="C1274" s="48">
        <f t="shared" ref="C1274" si="1219">(V1275-V1274)*1+(W1275-W1274)*32+(X1275-X1274)*12+(Y1275-Y1274)*6</f>
        <v>2058</v>
      </c>
      <c r="D1274" s="84">
        <f t="shared" si="1142"/>
        <v>1120</v>
      </c>
      <c r="E1274" s="45">
        <f t="shared" si="1143"/>
        <v>44</v>
      </c>
      <c r="F1274" s="45">
        <f t="shared" ref="F1274" si="1220">(Z1275-Z1274)*1</f>
        <v>67</v>
      </c>
      <c r="G1274" s="79">
        <f t="shared" ref="G1274" si="1221">C1274+D1274+F1274+E1274</f>
        <v>3289</v>
      </c>
      <c r="H1274" s="199">
        <v>2620</v>
      </c>
      <c r="I1274" s="199">
        <v>699</v>
      </c>
      <c r="J1274" s="200">
        <f t="shared" si="1184"/>
        <v>3319</v>
      </c>
      <c r="K1274" s="201">
        <f t="shared" si="1185"/>
        <v>30</v>
      </c>
      <c r="L1274" s="254">
        <v>270</v>
      </c>
      <c r="M1274" s="249">
        <v>0.46875</v>
      </c>
      <c r="N1274" s="235">
        <v>204577</v>
      </c>
      <c r="O1274" s="235">
        <v>104687</v>
      </c>
      <c r="P1274" s="235">
        <v>10453</v>
      </c>
      <c r="Q1274" s="235"/>
      <c r="R1274" s="235">
        <v>44331</v>
      </c>
      <c r="S1274" s="236">
        <v>9927.2999999999993</v>
      </c>
      <c r="T1274" s="236"/>
      <c r="U1274" s="236"/>
      <c r="V1274" s="235">
        <v>296471</v>
      </c>
      <c r="W1274" s="235">
        <v>126184</v>
      </c>
      <c r="X1274" s="235">
        <v>106830</v>
      </c>
      <c r="Y1274" s="235">
        <v>92778</v>
      </c>
      <c r="Z1274" s="235">
        <v>203477</v>
      </c>
    </row>
    <row r="1275" spans="1:26" ht="18" hidden="1" customHeight="1" x14ac:dyDescent="0.2">
      <c r="A1275" s="47">
        <f t="shared" si="1183"/>
        <v>44126</v>
      </c>
      <c r="B1275" s="47" t="str">
        <f t="shared" si="1146"/>
        <v>四</v>
      </c>
      <c r="C1275" s="48">
        <f t="shared" ref="C1275" si="1222">(V1276-V1275)*1+(W1276-W1275)*32+(X1276-X1275)*12+(Y1276-Y1275)*6</f>
        <v>2112</v>
      </c>
      <c r="D1275" s="84">
        <f t="shared" si="1142"/>
        <v>1096</v>
      </c>
      <c r="E1275" s="45">
        <f t="shared" si="1143"/>
        <v>26</v>
      </c>
      <c r="F1275" s="45">
        <f t="shared" ref="F1275" si="1223">(Z1276-Z1275)*1</f>
        <v>70</v>
      </c>
      <c r="G1275" s="79">
        <f t="shared" ref="G1275" si="1224">C1275+D1275+F1275+E1275</f>
        <v>3304</v>
      </c>
      <c r="H1275" s="199">
        <v>2717</v>
      </c>
      <c r="I1275" s="199">
        <v>712</v>
      </c>
      <c r="J1275" s="200">
        <f t="shared" si="1184"/>
        <v>3429</v>
      </c>
      <c r="K1275" s="201">
        <f t="shared" si="1185"/>
        <v>125</v>
      </c>
      <c r="L1275" s="254">
        <v>241</v>
      </c>
      <c r="M1275" s="249">
        <v>0.59375</v>
      </c>
      <c r="N1275" s="235">
        <v>204707</v>
      </c>
      <c r="O1275" s="235">
        <v>104747</v>
      </c>
      <c r="P1275" s="235">
        <v>10463</v>
      </c>
      <c r="Q1275" s="235"/>
      <c r="R1275" s="235">
        <v>44375</v>
      </c>
      <c r="S1275" s="236">
        <v>9927.2999999999993</v>
      </c>
      <c r="T1275" s="236"/>
      <c r="U1275" s="236"/>
      <c r="V1275" s="235">
        <v>296657</v>
      </c>
      <c r="W1275" s="235">
        <v>126217</v>
      </c>
      <c r="X1275" s="235">
        <v>106898</v>
      </c>
      <c r="Y1275" s="235">
        <v>92778</v>
      </c>
      <c r="Z1275" s="235">
        <v>203544</v>
      </c>
    </row>
    <row r="1276" spans="1:26" ht="18" hidden="1" customHeight="1" x14ac:dyDescent="0.2">
      <c r="A1276" s="47">
        <f t="shared" si="1183"/>
        <v>44127</v>
      </c>
      <c r="B1276" s="47" t="str">
        <f t="shared" si="1146"/>
        <v>五</v>
      </c>
      <c r="C1276" s="48">
        <f t="shared" ref="C1276:C1278" si="1225">(V1277-V1276)*1+(W1277-W1276)*32+(X1277-X1276)*12+(Y1277-Y1276)*6</f>
        <v>0</v>
      </c>
      <c r="D1276" s="84">
        <f t="shared" si="1142"/>
        <v>0</v>
      </c>
      <c r="E1276" s="45">
        <f t="shared" si="1143"/>
        <v>0</v>
      </c>
      <c r="F1276" s="45">
        <f t="shared" ref="F1276:F1278" si="1226">(Z1277-Z1276)*1</f>
        <v>0</v>
      </c>
      <c r="G1276" s="79">
        <f t="shared" ref="G1276:G1278" si="1227">C1276+D1276+F1276+E1276</f>
        <v>0</v>
      </c>
      <c r="H1276" s="199">
        <v>2472</v>
      </c>
      <c r="I1276" s="199">
        <v>740</v>
      </c>
      <c r="J1276" s="200">
        <f t="shared" si="1184"/>
        <v>3212</v>
      </c>
      <c r="K1276" s="201">
        <f t="shared" si="1185"/>
        <v>3212</v>
      </c>
      <c r="L1276" s="254">
        <v>266</v>
      </c>
      <c r="M1276" s="249">
        <v>0.38541666666666669</v>
      </c>
      <c r="N1276" s="235">
        <v>204837</v>
      </c>
      <c r="O1276" s="235">
        <v>104792</v>
      </c>
      <c r="P1276" s="235">
        <v>10470</v>
      </c>
      <c r="Q1276" s="235"/>
      <c r="R1276" s="235">
        <v>44401</v>
      </c>
      <c r="S1276" s="236">
        <v>9927.2999999999993</v>
      </c>
      <c r="T1276" s="236"/>
      <c r="U1276" s="236"/>
      <c r="V1276" s="235">
        <v>296821</v>
      </c>
      <c r="W1276" s="235">
        <v>126249</v>
      </c>
      <c r="X1276" s="235">
        <v>106975</v>
      </c>
      <c r="Y1276" s="235">
        <v>92778</v>
      </c>
      <c r="Z1276" s="235">
        <v>203614</v>
      </c>
    </row>
    <row r="1277" spans="1:26" ht="18" hidden="1" customHeight="1" x14ac:dyDescent="0.2">
      <c r="A1277" s="47">
        <f t="shared" si="1183"/>
        <v>44128</v>
      </c>
      <c r="B1277" s="47" t="str">
        <f t="shared" si="1146"/>
        <v>六</v>
      </c>
      <c r="C1277" s="48">
        <f t="shared" si="1225"/>
        <v>0</v>
      </c>
      <c r="D1277" s="84">
        <f t="shared" si="1142"/>
        <v>0</v>
      </c>
      <c r="E1277" s="45">
        <f t="shared" si="1143"/>
        <v>0</v>
      </c>
      <c r="F1277" s="45">
        <f t="shared" si="1226"/>
        <v>0</v>
      </c>
      <c r="G1277" s="79">
        <f t="shared" si="1227"/>
        <v>0</v>
      </c>
      <c r="H1277" s="199">
        <v>0</v>
      </c>
      <c r="I1277" s="199">
        <f>792+598</f>
        <v>1390</v>
      </c>
      <c r="J1277" s="200">
        <f t="shared" si="1184"/>
        <v>1390</v>
      </c>
      <c r="K1277" s="201">
        <f t="shared" si="1185"/>
        <v>1390</v>
      </c>
      <c r="L1277" s="254">
        <v>79</v>
      </c>
      <c r="M1277" s="249">
        <v>9.375E-2</v>
      </c>
      <c r="N1277" s="153">
        <v>204837</v>
      </c>
      <c r="O1277" s="153">
        <v>104792</v>
      </c>
      <c r="P1277" s="153">
        <v>10470</v>
      </c>
      <c r="Q1277" s="153"/>
      <c r="R1277" s="153">
        <v>44401</v>
      </c>
      <c r="S1277" s="154">
        <v>9927.2999999999993</v>
      </c>
      <c r="T1277" s="154"/>
      <c r="U1277" s="154"/>
      <c r="V1277" s="153">
        <v>296821</v>
      </c>
      <c r="W1277" s="153">
        <v>126249</v>
      </c>
      <c r="X1277" s="153">
        <v>106975</v>
      </c>
      <c r="Y1277" s="153">
        <v>92778</v>
      </c>
      <c r="Z1277" s="153">
        <v>203614</v>
      </c>
    </row>
    <row r="1278" spans="1:26" ht="18" hidden="1" customHeight="1" x14ac:dyDescent="0.2">
      <c r="A1278" s="47">
        <f t="shared" si="1183"/>
        <v>44129</v>
      </c>
      <c r="B1278" s="47" t="str">
        <f t="shared" si="1146"/>
        <v>日</v>
      </c>
      <c r="C1278" s="48">
        <f t="shared" si="1225"/>
        <v>2664</v>
      </c>
      <c r="D1278" s="84">
        <f t="shared" si="1142"/>
        <v>1560</v>
      </c>
      <c r="E1278" s="45">
        <f t="shared" si="1143"/>
        <v>33</v>
      </c>
      <c r="F1278" s="45">
        <f t="shared" si="1226"/>
        <v>68</v>
      </c>
      <c r="G1278" s="79">
        <f t="shared" si="1227"/>
        <v>4325</v>
      </c>
      <c r="H1278" s="199">
        <v>0</v>
      </c>
      <c r="I1278" s="199">
        <v>667</v>
      </c>
      <c r="J1278" s="200">
        <f t="shared" si="1184"/>
        <v>667</v>
      </c>
      <c r="K1278" s="201">
        <f t="shared" si="1185"/>
        <v>-3658</v>
      </c>
      <c r="L1278" s="254">
        <v>36</v>
      </c>
      <c r="M1278" s="249">
        <v>0.94791666666666663</v>
      </c>
      <c r="N1278" s="153">
        <v>204837</v>
      </c>
      <c r="O1278" s="153">
        <v>104792</v>
      </c>
      <c r="P1278" s="153">
        <v>10470</v>
      </c>
      <c r="Q1278" s="153"/>
      <c r="R1278" s="153">
        <v>44401</v>
      </c>
      <c r="S1278" s="154">
        <v>9927.2999999999993</v>
      </c>
      <c r="T1278" s="154"/>
      <c r="U1278" s="154"/>
      <c r="V1278" s="153">
        <v>296821</v>
      </c>
      <c r="W1278" s="153">
        <v>126249</v>
      </c>
      <c r="X1278" s="153">
        <v>106975</v>
      </c>
      <c r="Y1278" s="153">
        <v>92778</v>
      </c>
      <c r="Z1278" s="153">
        <v>203614</v>
      </c>
    </row>
    <row r="1279" spans="1:26" ht="18" hidden="1" customHeight="1" x14ac:dyDescent="0.2">
      <c r="A1279" s="47">
        <f t="shared" si="1183"/>
        <v>44130</v>
      </c>
      <c r="B1279" s="47" t="str">
        <f t="shared" si="1146"/>
        <v>一</v>
      </c>
      <c r="C1279" s="48">
        <f t="shared" ref="C1279" si="1228">(V1280-V1279)*1+(W1280-W1279)*32+(X1280-X1279)*12+(Y1280-Y1279)*6</f>
        <v>1839</v>
      </c>
      <c r="D1279" s="84">
        <f t="shared" si="1142"/>
        <v>1112</v>
      </c>
      <c r="E1279" s="45">
        <f t="shared" si="1143"/>
        <v>8</v>
      </c>
      <c r="F1279" s="45">
        <f t="shared" ref="F1279" si="1229">(Z1280-Z1279)*1</f>
        <v>278</v>
      </c>
      <c r="G1279" s="79">
        <f t="shared" ref="G1279" si="1230">C1279+D1279+F1279+E1279</f>
        <v>3237</v>
      </c>
      <c r="H1279" s="199">
        <v>2378</v>
      </c>
      <c r="I1279" s="199">
        <v>381</v>
      </c>
      <c r="J1279" s="200">
        <f t="shared" si="1184"/>
        <v>2759</v>
      </c>
      <c r="K1279" s="201">
        <f t="shared" si="1185"/>
        <v>-478</v>
      </c>
      <c r="L1279" s="254">
        <v>249</v>
      </c>
      <c r="M1279" s="249">
        <v>0.375</v>
      </c>
      <c r="N1279" s="235">
        <v>205017</v>
      </c>
      <c r="O1279" s="235">
        <v>104855</v>
      </c>
      <c r="P1279" s="235">
        <v>10485</v>
      </c>
      <c r="Q1279" s="235"/>
      <c r="R1279" s="235">
        <v>44434</v>
      </c>
      <c r="S1279" s="236">
        <v>9927.2999999999993</v>
      </c>
      <c r="T1279" s="236"/>
      <c r="U1279" s="236"/>
      <c r="V1279" s="235">
        <v>297245</v>
      </c>
      <c r="W1279" s="235">
        <v>126295</v>
      </c>
      <c r="X1279" s="235">
        <v>107039</v>
      </c>
      <c r="Y1279" s="235">
        <v>92778</v>
      </c>
      <c r="Z1279" s="235">
        <v>203682</v>
      </c>
    </row>
    <row r="1280" spans="1:26" ht="18" hidden="1" customHeight="1" x14ac:dyDescent="0.2">
      <c r="A1280" s="47">
        <f t="shared" si="1183"/>
        <v>44131</v>
      </c>
      <c r="B1280" s="47" t="str">
        <f t="shared" si="1146"/>
        <v>二</v>
      </c>
      <c r="C1280" s="48">
        <f t="shared" ref="C1280" si="1231">(V1281-V1280)*1+(W1281-W1280)*32+(X1281-X1280)*12+(Y1281-Y1280)*6</f>
        <v>1969</v>
      </c>
      <c r="D1280" s="84">
        <f t="shared" si="1142"/>
        <v>1024</v>
      </c>
      <c r="E1280" s="45">
        <f t="shared" si="1143"/>
        <v>9</v>
      </c>
      <c r="F1280" s="45">
        <f t="shared" ref="F1280" si="1232">(Z1281-Z1280)*1</f>
        <v>46</v>
      </c>
      <c r="G1280" s="79">
        <f t="shared" ref="G1280" si="1233">C1280+D1280+F1280+E1280</f>
        <v>3048</v>
      </c>
      <c r="H1280" s="199">
        <v>2551</v>
      </c>
      <c r="I1280" s="199">
        <v>714</v>
      </c>
      <c r="J1280" s="200">
        <f t="shared" si="1184"/>
        <v>3265</v>
      </c>
      <c r="K1280" s="201">
        <f t="shared" si="1185"/>
        <v>217</v>
      </c>
      <c r="L1280" s="254">
        <v>261</v>
      </c>
      <c r="M1280" s="249">
        <v>0.375</v>
      </c>
      <c r="N1280" s="235">
        <v>205147</v>
      </c>
      <c r="O1280" s="235">
        <v>104906</v>
      </c>
      <c r="P1280" s="235">
        <v>10494</v>
      </c>
      <c r="Q1280" s="235"/>
      <c r="R1280" s="235">
        <v>44442</v>
      </c>
      <c r="S1280" s="236">
        <v>9927.2999999999993</v>
      </c>
      <c r="T1280" s="236"/>
      <c r="U1280" s="236"/>
      <c r="V1280" s="235">
        <v>297424</v>
      </c>
      <c r="W1280" s="235">
        <v>126324</v>
      </c>
      <c r="X1280" s="235">
        <v>107100</v>
      </c>
      <c r="Y1280" s="235">
        <v>92778</v>
      </c>
      <c r="Z1280" s="235">
        <v>203960</v>
      </c>
    </row>
    <row r="1281" spans="1:26" ht="18" hidden="1" customHeight="1" x14ac:dyDescent="0.2">
      <c r="A1281" s="47">
        <f t="shared" si="1183"/>
        <v>44132</v>
      </c>
      <c r="B1281" s="47" t="str">
        <f t="shared" si="1146"/>
        <v>三</v>
      </c>
      <c r="C1281" s="48">
        <f t="shared" ref="C1281" si="1234">(V1282-V1281)*1+(W1282-W1281)*32+(X1282-X1281)*12+(Y1282-Y1281)*6</f>
        <v>2310</v>
      </c>
      <c r="D1281" s="84">
        <f t="shared" si="1142"/>
        <v>1008</v>
      </c>
      <c r="E1281" s="45">
        <f t="shared" si="1143"/>
        <v>39</v>
      </c>
      <c r="F1281" s="45">
        <f t="shared" ref="F1281" si="1235">(Z1282-Z1281)*1</f>
        <v>45</v>
      </c>
      <c r="G1281" s="79">
        <f t="shared" ref="G1281" si="1236">C1281+D1281+F1281+E1281</f>
        <v>3402</v>
      </c>
      <c r="H1281" s="199">
        <v>2872</v>
      </c>
      <c r="I1281" s="199">
        <v>668</v>
      </c>
      <c r="J1281" s="200">
        <f t="shared" si="1184"/>
        <v>3540</v>
      </c>
      <c r="K1281" s="201">
        <f t="shared" si="1185"/>
        <v>138</v>
      </c>
      <c r="L1281" s="254">
        <v>251</v>
      </c>
      <c r="M1281" s="249" t="s">
        <v>180</v>
      </c>
      <c r="N1281" s="235">
        <v>205267</v>
      </c>
      <c r="O1281" s="235">
        <v>104951</v>
      </c>
      <c r="P1281" s="235">
        <v>10502</v>
      </c>
      <c r="Q1281" s="235"/>
      <c r="R1281" s="235">
        <v>44451</v>
      </c>
      <c r="S1281" s="236">
        <v>9927.2999999999993</v>
      </c>
      <c r="T1281" s="236"/>
      <c r="U1281" s="236"/>
      <c r="V1281" s="235">
        <v>297597</v>
      </c>
      <c r="W1281" s="235">
        <v>126355</v>
      </c>
      <c r="X1281" s="235">
        <v>107167</v>
      </c>
      <c r="Y1281" s="235">
        <v>92778</v>
      </c>
      <c r="Z1281" s="235">
        <v>204006</v>
      </c>
    </row>
    <row r="1282" spans="1:26" ht="18" hidden="1" customHeight="1" x14ac:dyDescent="0.2">
      <c r="A1282" s="47">
        <f t="shared" si="1183"/>
        <v>44133</v>
      </c>
      <c r="B1282" s="47" t="str">
        <f t="shared" si="1146"/>
        <v>四</v>
      </c>
      <c r="C1282" s="48">
        <f t="shared" ref="C1282" si="1237">(V1283-V1282)*1+(W1283-W1282)*32+(X1283-X1282)*12+(Y1283-Y1282)*6</f>
        <v>2086</v>
      </c>
      <c r="D1282" s="84">
        <f t="shared" si="1142"/>
        <v>1112</v>
      </c>
      <c r="E1282" s="45">
        <f t="shared" si="1143"/>
        <v>45</v>
      </c>
      <c r="F1282" s="45">
        <f t="shared" ref="F1282" si="1238">(Z1283-Z1282)*1</f>
        <v>80</v>
      </c>
      <c r="G1282" s="79">
        <f t="shared" ref="G1282" si="1239">C1282+D1282+F1282+E1282</f>
        <v>3323</v>
      </c>
      <c r="H1282" s="199">
        <v>2603</v>
      </c>
      <c r="I1282" s="199">
        <v>664</v>
      </c>
      <c r="J1282" s="200">
        <f t="shared" si="1184"/>
        <v>3267</v>
      </c>
      <c r="K1282" s="201">
        <f t="shared" si="1185"/>
        <v>-56</v>
      </c>
      <c r="L1282" s="254">
        <v>255</v>
      </c>
      <c r="M1282" s="249">
        <v>0.59375</v>
      </c>
      <c r="N1282" s="235">
        <v>205387</v>
      </c>
      <c r="O1282" s="235">
        <v>104995</v>
      </c>
      <c r="P1282" s="235">
        <v>10508</v>
      </c>
      <c r="Q1282" s="235"/>
      <c r="R1282" s="235">
        <v>44490</v>
      </c>
      <c r="S1282" s="236">
        <v>9927.2999999999993</v>
      </c>
      <c r="T1282" s="236"/>
      <c r="U1282" s="236"/>
      <c r="V1282" s="235">
        <v>297783</v>
      </c>
      <c r="W1282" s="235">
        <v>126391</v>
      </c>
      <c r="X1282" s="235">
        <v>107248</v>
      </c>
      <c r="Y1282" s="235">
        <v>92778</v>
      </c>
      <c r="Z1282" s="235">
        <v>204051</v>
      </c>
    </row>
    <row r="1283" spans="1:26" ht="18" hidden="1" customHeight="1" x14ac:dyDescent="0.2">
      <c r="A1283" s="47">
        <f t="shared" si="1183"/>
        <v>44134</v>
      </c>
      <c r="B1283" s="47" t="str">
        <f t="shared" si="1146"/>
        <v>五</v>
      </c>
      <c r="C1283" s="48">
        <f t="shared" ref="C1283:C1285" si="1240">(V1284-V1283)*1+(W1284-W1283)*32+(X1284-X1283)*12+(Y1284-Y1283)*6</f>
        <v>0</v>
      </c>
      <c r="D1283" s="84">
        <f t="shared" si="1142"/>
        <v>0</v>
      </c>
      <c r="E1283" s="45">
        <f t="shared" si="1143"/>
        <v>0</v>
      </c>
      <c r="F1283" s="45">
        <f t="shared" ref="F1283:F1285" si="1241">(Z1284-Z1283)*1</f>
        <v>0</v>
      </c>
      <c r="G1283" s="79">
        <f t="shared" ref="G1283:G1285" si="1242">C1283+D1283+F1283+E1283</f>
        <v>0</v>
      </c>
      <c r="H1283" s="199">
        <v>2555</v>
      </c>
      <c r="I1283" s="199">
        <v>700</v>
      </c>
      <c r="J1283" s="200">
        <f t="shared" si="1184"/>
        <v>3255</v>
      </c>
      <c r="K1283" s="201">
        <f t="shared" si="1185"/>
        <v>3255</v>
      </c>
      <c r="L1283" s="254">
        <v>247</v>
      </c>
      <c r="M1283" s="249" t="s">
        <v>181</v>
      </c>
      <c r="N1283" s="235">
        <v>205517</v>
      </c>
      <c r="O1283" s="235">
        <v>105039</v>
      </c>
      <c r="P1283" s="235">
        <v>10517</v>
      </c>
      <c r="Q1283" s="235"/>
      <c r="R1283" s="235">
        <v>44535</v>
      </c>
      <c r="S1283" s="236">
        <v>9927.2999999999993</v>
      </c>
      <c r="T1283" s="236"/>
      <c r="U1283" s="236"/>
      <c r="V1283" s="235">
        <v>297957</v>
      </c>
      <c r="W1283" s="235">
        <v>126426</v>
      </c>
      <c r="X1283" s="235">
        <v>107314</v>
      </c>
      <c r="Y1283" s="235">
        <v>92778</v>
      </c>
      <c r="Z1283" s="235">
        <v>204131</v>
      </c>
    </row>
    <row r="1284" spans="1:26" ht="18" hidden="1" customHeight="1" x14ac:dyDescent="0.2">
      <c r="A1284" s="47">
        <f t="shared" si="1183"/>
        <v>44135</v>
      </c>
      <c r="B1284" s="47" t="str">
        <f t="shared" si="1146"/>
        <v>六</v>
      </c>
      <c r="C1284" s="48">
        <f t="shared" si="1240"/>
        <v>0</v>
      </c>
      <c r="D1284" s="84">
        <f t="shared" si="1142"/>
        <v>0</v>
      </c>
      <c r="E1284" s="45">
        <f t="shared" si="1143"/>
        <v>0</v>
      </c>
      <c r="F1284" s="45">
        <f t="shared" si="1241"/>
        <v>0</v>
      </c>
      <c r="G1284" s="79">
        <f t="shared" si="1242"/>
        <v>0</v>
      </c>
      <c r="H1284" s="199">
        <v>0</v>
      </c>
      <c r="I1284" s="199">
        <f>776+570</f>
        <v>1346</v>
      </c>
      <c r="J1284" s="200">
        <f t="shared" si="1184"/>
        <v>1346</v>
      </c>
      <c r="K1284" s="201">
        <f t="shared" si="1185"/>
        <v>1346</v>
      </c>
      <c r="L1284" s="254">
        <v>74</v>
      </c>
      <c r="M1284" s="249" t="s">
        <v>182</v>
      </c>
      <c r="N1284" s="153">
        <v>205517</v>
      </c>
      <c r="O1284" s="153">
        <v>105039</v>
      </c>
      <c r="P1284" s="153">
        <v>10517</v>
      </c>
      <c r="Q1284" s="153"/>
      <c r="R1284" s="153">
        <v>44535</v>
      </c>
      <c r="S1284" s="154">
        <v>9927.2999999999993</v>
      </c>
      <c r="T1284" s="154"/>
      <c r="U1284" s="154"/>
      <c r="V1284" s="153">
        <v>297957</v>
      </c>
      <c r="W1284" s="153">
        <v>126426</v>
      </c>
      <c r="X1284" s="153">
        <v>107314</v>
      </c>
      <c r="Y1284" s="153">
        <v>92778</v>
      </c>
      <c r="Z1284" s="153">
        <v>204131</v>
      </c>
    </row>
    <row r="1285" spans="1:26" ht="18" hidden="1" customHeight="1" x14ac:dyDescent="0.2">
      <c r="A1285" s="47">
        <f t="shared" si="1183"/>
        <v>44136</v>
      </c>
      <c r="B1285" s="47" t="str">
        <f t="shared" si="1146"/>
        <v>日</v>
      </c>
      <c r="C1285" s="48">
        <f t="shared" si="1240"/>
        <v>2792</v>
      </c>
      <c r="D1285" s="84">
        <f t="shared" si="1142"/>
        <v>1408</v>
      </c>
      <c r="E1285" s="45">
        <f t="shared" si="1143"/>
        <v>33</v>
      </c>
      <c r="F1285" s="45">
        <f t="shared" si="1241"/>
        <v>240</v>
      </c>
      <c r="G1285" s="79">
        <f t="shared" si="1242"/>
        <v>4473</v>
      </c>
      <c r="H1285" s="199">
        <v>0</v>
      </c>
      <c r="I1285" s="199">
        <v>660</v>
      </c>
      <c r="J1285" s="200">
        <f t="shared" ref="J1285:J1318" si="1243">H1285+I1285</f>
        <v>660</v>
      </c>
      <c r="K1285" s="201">
        <f t="shared" ref="K1285:K1318" si="1244">J1285-G1285</f>
        <v>-3813</v>
      </c>
      <c r="L1285" s="254">
        <v>34</v>
      </c>
      <c r="M1285" s="249">
        <v>7.2916666666666671E-2</v>
      </c>
      <c r="N1285" s="153">
        <v>205517</v>
      </c>
      <c r="O1285" s="153">
        <v>105039</v>
      </c>
      <c r="P1285" s="153">
        <v>10517</v>
      </c>
      <c r="Q1285" s="153"/>
      <c r="R1285" s="153">
        <v>44535</v>
      </c>
      <c r="S1285" s="154">
        <v>9927.2999999999993</v>
      </c>
      <c r="T1285" s="154"/>
      <c r="U1285" s="154"/>
      <c r="V1285" s="153">
        <v>297957</v>
      </c>
      <c r="W1285" s="153">
        <v>126426</v>
      </c>
      <c r="X1285" s="153">
        <v>107314</v>
      </c>
      <c r="Y1285" s="153">
        <v>92778</v>
      </c>
      <c r="Z1285" s="153">
        <v>204131</v>
      </c>
    </row>
    <row r="1286" spans="1:26" ht="18" hidden="1" customHeight="1" x14ac:dyDescent="0.2">
      <c r="A1286" s="47">
        <f t="shared" si="1183"/>
        <v>44137</v>
      </c>
      <c r="B1286" s="47" t="str">
        <f t="shared" si="1146"/>
        <v>一</v>
      </c>
      <c r="C1286" s="48">
        <f t="shared" ref="C1286" si="1245">(V1287-V1286)*1+(W1287-W1286)*32+(X1287-X1286)*12+(Y1287-Y1286)*6</f>
        <v>1512</v>
      </c>
      <c r="D1286" s="84">
        <f t="shared" si="1142"/>
        <v>920</v>
      </c>
      <c r="E1286" s="45">
        <f t="shared" si="1143"/>
        <v>7</v>
      </c>
      <c r="F1286" s="45">
        <f t="shared" ref="F1286" si="1246">(Z1287-Z1286)*1</f>
        <v>80</v>
      </c>
      <c r="G1286" s="79">
        <f t="shared" ref="G1286" si="1247">C1286+D1286+F1286+E1286</f>
        <v>2519</v>
      </c>
      <c r="H1286" s="199">
        <v>2540</v>
      </c>
      <c r="I1286" s="199">
        <v>381</v>
      </c>
      <c r="J1286" s="200">
        <f t="shared" si="1243"/>
        <v>2921</v>
      </c>
      <c r="K1286" s="201">
        <f t="shared" si="1244"/>
        <v>402</v>
      </c>
      <c r="L1286" s="254">
        <v>260</v>
      </c>
      <c r="M1286" s="249">
        <v>0.44791666666666669</v>
      </c>
      <c r="N1286" s="235">
        <v>205679</v>
      </c>
      <c r="O1286" s="235">
        <v>105095</v>
      </c>
      <c r="P1286" s="235">
        <v>10531</v>
      </c>
      <c r="Q1286" s="235"/>
      <c r="R1286" s="235">
        <v>44568</v>
      </c>
      <c r="S1286" s="236">
        <v>9927.2999999999993</v>
      </c>
      <c r="T1286" s="236"/>
      <c r="U1286" s="236"/>
      <c r="V1286" s="235">
        <v>298373</v>
      </c>
      <c r="W1286" s="235">
        <v>126474</v>
      </c>
      <c r="X1286" s="235">
        <v>107384</v>
      </c>
      <c r="Y1286" s="235">
        <v>92778</v>
      </c>
      <c r="Z1286" s="235">
        <v>204371</v>
      </c>
    </row>
    <row r="1287" spans="1:26" ht="18" hidden="1" customHeight="1" x14ac:dyDescent="0.2">
      <c r="A1287" s="47">
        <f t="shared" si="1183"/>
        <v>44138</v>
      </c>
      <c r="B1287" s="47" t="str">
        <f t="shared" si="1146"/>
        <v>二</v>
      </c>
      <c r="C1287" s="48">
        <f t="shared" ref="C1287" si="1248">(V1288-V1287)*1+(W1288-W1287)*32+(X1288-X1287)*12+(Y1288-Y1287)*6</f>
        <v>2802</v>
      </c>
      <c r="D1287" s="84">
        <f t="shared" si="1142"/>
        <v>928</v>
      </c>
      <c r="E1287" s="45">
        <f t="shared" si="1143"/>
        <v>10</v>
      </c>
      <c r="F1287" s="45">
        <f t="shared" ref="F1287" si="1249">(Z1288-Z1287)*1</f>
        <v>86</v>
      </c>
      <c r="G1287" s="79">
        <f t="shared" ref="G1287" si="1250">C1287+D1287+F1287+E1287</f>
        <v>3826</v>
      </c>
      <c r="H1287" s="199">
        <v>2754</v>
      </c>
      <c r="I1287" s="199">
        <v>679</v>
      </c>
      <c r="J1287" s="200">
        <f t="shared" si="1243"/>
        <v>3433</v>
      </c>
      <c r="K1287" s="201">
        <f t="shared" si="1244"/>
        <v>-393</v>
      </c>
      <c r="L1287" s="254">
        <v>239</v>
      </c>
      <c r="M1287" s="249" t="s">
        <v>183</v>
      </c>
      <c r="N1287" s="235">
        <v>205787</v>
      </c>
      <c r="O1287" s="235">
        <v>105144</v>
      </c>
      <c r="P1287" s="235">
        <v>10538</v>
      </c>
      <c r="Q1287" s="235"/>
      <c r="R1287" s="235">
        <v>44575</v>
      </c>
      <c r="S1287" s="236">
        <v>9927.2999999999993</v>
      </c>
      <c r="T1287" s="236"/>
      <c r="U1287" s="236"/>
      <c r="V1287" s="235">
        <v>298249</v>
      </c>
      <c r="W1287" s="235">
        <v>126500</v>
      </c>
      <c r="X1287" s="235">
        <v>107451</v>
      </c>
      <c r="Y1287" s="235">
        <v>92778</v>
      </c>
      <c r="Z1287" s="235">
        <v>204451</v>
      </c>
    </row>
    <row r="1288" spans="1:26" ht="18" hidden="1" customHeight="1" x14ac:dyDescent="0.2">
      <c r="A1288" s="47">
        <f t="shared" si="1183"/>
        <v>44139</v>
      </c>
      <c r="B1288" s="47" t="str">
        <f t="shared" si="1146"/>
        <v>三</v>
      </c>
      <c r="C1288" s="48">
        <f t="shared" ref="C1288" si="1251">(V1289-V1288)*1+(W1289-W1288)*32+(X1289-X1288)*12+(Y1289-Y1288)*6</f>
        <v>2163</v>
      </c>
      <c r="D1288" s="84">
        <f t="shared" si="1142"/>
        <v>944</v>
      </c>
      <c r="E1288" s="45">
        <f t="shared" si="1143"/>
        <v>14</v>
      </c>
      <c r="F1288" s="45">
        <f t="shared" ref="F1288" si="1252">(Z1289-Z1288)*1</f>
        <v>100</v>
      </c>
      <c r="G1288" s="79">
        <f t="shared" ref="G1288" si="1253">C1288+D1288+F1288+E1288</f>
        <v>3221</v>
      </c>
      <c r="H1288" s="199">
        <v>2697</v>
      </c>
      <c r="I1288" s="199">
        <v>673</v>
      </c>
      <c r="J1288" s="200">
        <f t="shared" si="1243"/>
        <v>3370</v>
      </c>
      <c r="K1288" s="201">
        <f t="shared" si="1244"/>
        <v>149</v>
      </c>
      <c r="L1288" s="254">
        <v>247</v>
      </c>
      <c r="M1288" s="249">
        <v>0.39583333333333331</v>
      </c>
      <c r="N1288" s="235">
        <v>205897</v>
      </c>
      <c r="O1288" s="235">
        <v>105186</v>
      </c>
      <c r="P1288" s="235">
        <v>10544</v>
      </c>
      <c r="Q1288" s="235"/>
      <c r="R1288" s="235">
        <v>44585</v>
      </c>
      <c r="S1288" s="236">
        <v>9927.2999999999993</v>
      </c>
      <c r="T1288" s="236"/>
      <c r="U1288" s="236"/>
      <c r="V1288" s="235">
        <v>298727</v>
      </c>
      <c r="W1288" s="235">
        <v>126540</v>
      </c>
      <c r="X1288" s="235">
        <v>107538</v>
      </c>
      <c r="Y1288" s="235">
        <v>92778</v>
      </c>
      <c r="Z1288" s="235">
        <v>204537</v>
      </c>
    </row>
    <row r="1289" spans="1:26" ht="18" hidden="1" customHeight="1" x14ac:dyDescent="0.2">
      <c r="A1289" s="47">
        <f t="shared" si="1183"/>
        <v>44140</v>
      </c>
      <c r="B1289" s="47" t="str">
        <f t="shared" si="1146"/>
        <v>四</v>
      </c>
      <c r="C1289" s="48">
        <f t="shared" ref="C1289" si="1254">(V1290-V1289)*1+(W1290-W1289)*32+(X1290-X1289)*12+(Y1290-Y1289)*6</f>
        <v>2301</v>
      </c>
      <c r="D1289" s="84">
        <f t="shared" si="1142"/>
        <v>136</v>
      </c>
      <c r="E1289" s="45">
        <f t="shared" si="1143"/>
        <v>23</v>
      </c>
      <c r="F1289" s="45">
        <f t="shared" ref="F1289" si="1255">(Z1290-Z1289)*1</f>
        <v>100</v>
      </c>
      <c r="G1289" s="79">
        <f t="shared" ref="G1289" si="1256">C1289+D1289+F1289+E1289</f>
        <v>2560</v>
      </c>
      <c r="H1289" s="199">
        <v>2769</v>
      </c>
      <c r="I1289" s="199">
        <v>670</v>
      </c>
      <c r="J1289" s="200">
        <f t="shared" si="1243"/>
        <v>3439</v>
      </c>
      <c r="K1289" s="201">
        <f t="shared" si="1244"/>
        <v>879</v>
      </c>
      <c r="L1289" s="254">
        <v>240</v>
      </c>
      <c r="M1289" s="249" t="s">
        <v>184</v>
      </c>
      <c r="N1289" s="235">
        <v>206007</v>
      </c>
      <c r="O1289" s="235">
        <v>105224</v>
      </c>
      <c r="P1289" s="235">
        <v>10552</v>
      </c>
      <c r="Q1289" s="235"/>
      <c r="R1289" s="235">
        <v>44599</v>
      </c>
      <c r="S1289" s="236">
        <v>9927.2999999999993</v>
      </c>
      <c r="T1289" s="236"/>
      <c r="U1289" s="236"/>
      <c r="V1289" s="235">
        <v>298902</v>
      </c>
      <c r="W1289" s="235">
        <v>126574</v>
      </c>
      <c r="X1289" s="235">
        <v>107613</v>
      </c>
      <c r="Y1289" s="235">
        <v>92778</v>
      </c>
      <c r="Z1289" s="235">
        <v>204637</v>
      </c>
    </row>
    <row r="1290" spans="1:26" ht="18" hidden="1" customHeight="1" x14ac:dyDescent="0.2">
      <c r="A1290" s="47">
        <f t="shared" si="1183"/>
        <v>44141</v>
      </c>
      <c r="B1290" s="47" t="str">
        <f t="shared" si="1146"/>
        <v>五</v>
      </c>
      <c r="C1290" s="48">
        <f t="shared" ref="C1290:C1292" si="1257">(V1291-V1290)*1+(W1291-W1290)*32+(X1291-X1290)*12+(Y1291-Y1290)*6</f>
        <v>0</v>
      </c>
      <c r="D1290" s="84">
        <f t="shared" si="1142"/>
        <v>0</v>
      </c>
      <c r="E1290" s="45">
        <f t="shared" si="1143"/>
        <v>0</v>
      </c>
      <c r="F1290" s="45">
        <f t="shared" ref="F1290:F1292" si="1258">(Z1291-Z1290)*1</f>
        <v>0</v>
      </c>
      <c r="G1290" s="79">
        <f t="shared" ref="G1290:G1292" si="1259">C1290+D1290+F1290+E1290</f>
        <v>0</v>
      </c>
      <c r="H1290" s="199">
        <v>2808</v>
      </c>
      <c r="I1290" s="199">
        <v>679</v>
      </c>
      <c r="J1290" s="200">
        <f t="shared" si="1243"/>
        <v>3487</v>
      </c>
      <c r="K1290" s="201">
        <f t="shared" si="1244"/>
        <v>3487</v>
      </c>
      <c r="L1290" s="254">
        <v>258</v>
      </c>
      <c r="M1290" s="249">
        <v>0.375</v>
      </c>
      <c r="N1290" s="235">
        <v>206017</v>
      </c>
      <c r="O1290" s="235">
        <v>105264</v>
      </c>
      <c r="P1290" s="235">
        <v>10559</v>
      </c>
      <c r="Q1290" s="235"/>
      <c r="R1290" s="235">
        <v>44622</v>
      </c>
      <c r="S1290" s="236">
        <v>9927.2999999999993</v>
      </c>
      <c r="T1290" s="236"/>
      <c r="U1290" s="236"/>
      <c r="V1290" s="235">
        <v>299095</v>
      </c>
      <c r="W1290" s="235">
        <v>126605</v>
      </c>
      <c r="X1290" s="235">
        <v>107706</v>
      </c>
      <c r="Y1290" s="235">
        <v>92778</v>
      </c>
      <c r="Z1290" s="235">
        <v>204737</v>
      </c>
    </row>
    <row r="1291" spans="1:26" ht="18" hidden="1" customHeight="1" x14ac:dyDescent="0.2">
      <c r="A1291" s="47">
        <f t="shared" si="1183"/>
        <v>44142</v>
      </c>
      <c r="B1291" s="47" t="str">
        <f t="shared" si="1146"/>
        <v>六</v>
      </c>
      <c r="C1291" s="48">
        <f t="shared" si="1257"/>
        <v>0</v>
      </c>
      <c r="D1291" s="84">
        <f t="shared" si="1142"/>
        <v>0</v>
      </c>
      <c r="E1291" s="45">
        <f t="shared" si="1143"/>
        <v>0</v>
      </c>
      <c r="F1291" s="45">
        <f t="shared" si="1258"/>
        <v>0</v>
      </c>
      <c r="G1291" s="79">
        <f t="shared" si="1259"/>
        <v>0</v>
      </c>
      <c r="H1291" s="199">
        <v>0</v>
      </c>
      <c r="I1291" s="199">
        <f>441+484</f>
        <v>925</v>
      </c>
      <c r="J1291" s="200">
        <f t="shared" si="1243"/>
        <v>925</v>
      </c>
      <c r="K1291" s="201">
        <f t="shared" si="1244"/>
        <v>925</v>
      </c>
      <c r="L1291" s="254">
        <v>71</v>
      </c>
      <c r="M1291" s="249">
        <v>6.25E-2</v>
      </c>
      <c r="N1291" s="153">
        <v>206017</v>
      </c>
      <c r="O1291" s="153">
        <v>105264</v>
      </c>
      <c r="P1291" s="153">
        <v>10559</v>
      </c>
      <c r="Q1291" s="153"/>
      <c r="R1291" s="153">
        <v>44622</v>
      </c>
      <c r="S1291" s="154">
        <v>9927.2999999999993</v>
      </c>
      <c r="T1291" s="154"/>
      <c r="U1291" s="154"/>
      <c r="V1291" s="153">
        <v>299095</v>
      </c>
      <c r="W1291" s="153">
        <v>126605</v>
      </c>
      <c r="X1291" s="153">
        <v>107706</v>
      </c>
      <c r="Y1291" s="153">
        <v>92778</v>
      </c>
      <c r="Z1291" s="153">
        <v>204737</v>
      </c>
    </row>
    <row r="1292" spans="1:26" ht="18" hidden="1" customHeight="1" x14ac:dyDescent="0.2">
      <c r="A1292" s="47">
        <f t="shared" si="1183"/>
        <v>44143</v>
      </c>
      <c r="B1292" s="47" t="str">
        <f t="shared" si="1146"/>
        <v>日</v>
      </c>
      <c r="C1292" s="48">
        <f t="shared" si="1257"/>
        <v>3269</v>
      </c>
      <c r="D1292" s="84">
        <f t="shared" si="1142"/>
        <v>1672</v>
      </c>
      <c r="E1292" s="45">
        <f t="shared" si="1143"/>
        <v>135</v>
      </c>
      <c r="F1292" s="45">
        <f t="shared" si="1258"/>
        <v>235</v>
      </c>
      <c r="G1292" s="79">
        <f t="shared" si="1259"/>
        <v>5311</v>
      </c>
      <c r="H1292" s="199">
        <v>0</v>
      </c>
      <c r="I1292" s="199">
        <v>737</v>
      </c>
      <c r="J1292" s="200">
        <f t="shared" si="1243"/>
        <v>737</v>
      </c>
      <c r="K1292" s="201">
        <f t="shared" si="1244"/>
        <v>-4574</v>
      </c>
      <c r="L1292" s="254">
        <v>37</v>
      </c>
      <c r="M1292" s="249" t="s">
        <v>185</v>
      </c>
      <c r="N1292" s="153">
        <v>206017</v>
      </c>
      <c r="O1292" s="153">
        <v>105264</v>
      </c>
      <c r="P1292" s="153">
        <v>10559</v>
      </c>
      <c r="Q1292" s="153"/>
      <c r="R1292" s="153">
        <v>44622</v>
      </c>
      <c r="S1292" s="154">
        <v>9927.2999999999993</v>
      </c>
      <c r="T1292" s="154"/>
      <c r="U1292" s="154"/>
      <c r="V1292" s="153">
        <v>299095</v>
      </c>
      <c r="W1292" s="153">
        <v>126605</v>
      </c>
      <c r="X1292" s="153">
        <v>107706</v>
      </c>
      <c r="Y1292" s="153">
        <v>92778</v>
      </c>
      <c r="Z1292" s="153">
        <v>204737</v>
      </c>
    </row>
    <row r="1293" spans="1:26" ht="18" hidden="1" customHeight="1" x14ac:dyDescent="0.2">
      <c r="A1293" s="47">
        <f t="shared" si="1183"/>
        <v>44144</v>
      </c>
      <c r="B1293" s="47" t="str">
        <f t="shared" si="1146"/>
        <v>一</v>
      </c>
      <c r="C1293" s="48">
        <f t="shared" ref="C1293" si="1260">(V1294-V1293)*1+(W1294-W1293)*32+(X1294-X1293)*12+(Y1294-Y1293)*6</f>
        <v>2192</v>
      </c>
      <c r="D1293" s="84">
        <f t="shared" si="1142"/>
        <v>1040</v>
      </c>
      <c r="E1293" s="45">
        <f t="shared" si="1143"/>
        <v>37</v>
      </c>
      <c r="F1293" s="45">
        <f t="shared" ref="F1293" si="1261">(Z1294-Z1293)*1</f>
        <v>101</v>
      </c>
      <c r="G1293" s="79">
        <f t="shared" ref="G1293" si="1262">C1293+D1293+F1293+E1293</f>
        <v>3370</v>
      </c>
      <c r="H1293" s="199">
        <v>2732</v>
      </c>
      <c r="I1293" s="199">
        <v>409</v>
      </c>
      <c r="J1293" s="200">
        <f t="shared" si="1243"/>
        <v>3141</v>
      </c>
      <c r="K1293" s="201">
        <f t="shared" si="1244"/>
        <v>-229</v>
      </c>
      <c r="L1293" s="254">
        <v>245</v>
      </c>
      <c r="M1293" s="249">
        <v>0.78125</v>
      </c>
      <c r="N1293" s="235">
        <v>206207</v>
      </c>
      <c r="O1293" s="235">
        <v>105298</v>
      </c>
      <c r="P1293" s="235">
        <v>10578</v>
      </c>
      <c r="Q1293" s="235"/>
      <c r="R1293" s="235">
        <v>44757</v>
      </c>
      <c r="S1293" s="236">
        <v>9927.2999999999993</v>
      </c>
      <c r="T1293" s="236"/>
      <c r="U1293" s="236"/>
      <c r="V1293" s="235">
        <v>299636</v>
      </c>
      <c r="W1293" s="235">
        <v>126664</v>
      </c>
      <c r="X1293" s="235">
        <v>107776</v>
      </c>
      <c r="Y1293" s="235">
        <v>92778</v>
      </c>
      <c r="Z1293" s="235">
        <v>204972</v>
      </c>
    </row>
    <row r="1294" spans="1:26" ht="18" hidden="1" customHeight="1" x14ac:dyDescent="0.2">
      <c r="A1294" s="47">
        <f t="shared" si="1183"/>
        <v>44145</v>
      </c>
      <c r="B1294" s="47" t="str">
        <f t="shared" si="1146"/>
        <v>二</v>
      </c>
      <c r="C1294" s="48">
        <f t="shared" ref="C1294" si="1263">(V1295-V1294)*1+(W1295-W1294)*32+(X1295-X1294)*12+(Y1295-Y1294)*6</f>
        <v>2337</v>
      </c>
      <c r="D1294" s="84">
        <f t="shared" si="1142"/>
        <v>872</v>
      </c>
      <c r="E1294" s="45">
        <f t="shared" si="1143"/>
        <v>29</v>
      </c>
      <c r="F1294" s="45">
        <f t="shared" ref="F1294" si="1264">(Z1295-Z1294)*1</f>
        <v>82</v>
      </c>
      <c r="G1294" s="79">
        <f t="shared" ref="G1294" si="1265">C1294+D1294+F1294+E1294</f>
        <v>3320</v>
      </c>
      <c r="H1294" s="199">
        <v>2846</v>
      </c>
      <c r="I1294" s="199">
        <v>682</v>
      </c>
      <c r="J1294" s="200">
        <f t="shared" si="1243"/>
        <v>3528</v>
      </c>
      <c r="K1294" s="201">
        <f t="shared" si="1244"/>
        <v>208</v>
      </c>
      <c r="L1294" s="254">
        <v>248</v>
      </c>
      <c r="M1294" s="249">
        <v>0.46875</v>
      </c>
      <c r="N1294" s="235">
        <v>206327</v>
      </c>
      <c r="O1294" s="235">
        <v>105342</v>
      </c>
      <c r="P1294" s="235">
        <v>10588</v>
      </c>
      <c r="Q1294" s="235"/>
      <c r="R1294" s="235">
        <v>44794</v>
      </c>
      <c r="S1294" s="236">
        <v>9927.2999999999993</v>
      </c>
      <c r="T1294" s="236"/>
      <c r="U1294" s="236"/>
      <c r="V1294" s="235">
        <v>299812</v>
      </c>
      <c r="W1294" s="235">
        <v>126697</v>
      </c>
      <c r="X1294" s="235">
        <v>107856</v>
      </c>
      <c r="Y1294" s="235">
        <v>92778</v>
      </c>
      <c r="Z1294" s="235">
        <v>205073</v>
      </c>
    </row>
    <row r="1295" spans="1:26" ht="18" hidden="1" customHeight="1" x14ac:dyDescent="0.2">
      <c r="A1295" s="47">
        <f t="shared" si="1183"/>
        <v>44146</v>
      </c>
      <c r="B1295" s="47" t="str">
        <f t="shared" si="1146"/>
        <v>三</v>
      </c>
      <c r="C1295" s="48">
        <f t="shared" ref="C1295" si="1266">(V1296-V1295)*1+(W1296-W1295)*32+(X1296-X1295)*12+(Y1296-Y1295)*6</f>
        <v>2277</v>
      </c>
      <c r="D1295" s="84">
        <f t="shared" si="1142"/>
        <v>928</v>
      </c>
      <c r="E1295" s="45">
        <f t="shared" si="1143"/>
        <v>28</v>
      </c>
      <c r="F1295" s="45">
        <f t="shared" ref="F1295" si="1267">(Z1296-Z1295)*1</f>
        <v>89</v>
      </c>
      <c r="G1295" s="79">
        <f t="shared" ref="G1295" si="1268">C1295+D1295+F1295+E1295</f>
        <v>3322</v>
      </c>
      <c r="H1295" s="199">
        <v>2794</v>
      </c>
      <c r="I1295" s="199">
        <v>687</v>
      </c>
      <c r="J1295" s="200">
        <f t="shared" si="1243"/>
        <v>3481</v>
      </c>
      <c r="K1295" s="201">
        <f t="shared" si="1244"/>
        <v>159</v>
      </c>
      <c r="L1295" s="254">
        <v>246</v>
      </c>
      <c r="M1295" s="249">
        <v>0.6875</v>
      </c>
      <c r="N1295" s="235">
        <v>206427</v>
      </c>
      <c r="O1295" s="235">
        <v>105384</v>
      </c>
      <c r="P1295" s="235">
        <v>10597</v>
      </c>
      <c r="Q1295" s="235"/>
      <c r="R1295" s="235">
        <v>44823</v>
      </c>
      <c r="S1295" s="236">
        <v>9927.2999999999993</v>
      </c>
      <c r="T1295" s="236"/>
      <c r="U1295" s="236"/>
      <c r="V1295" s="235">
        <v>299981</v>
      </c>
      <c r="W1295" s="235">
        <v>126731</v>
      </c>
      <c r="X1295" s="235">
        <v>107946</v>
      </c>
      <c r="Y1295" s="235">
        <v>92778</v>
      </c>
      <c r="Z1295" s="235">
        <v>205155</v>
      </c>
    </row>
    <row r="1296" spans="1:26" ht="18" hidden="1" customHeight="1" x14ac:dyDescent="0.2">
      <c r="A1296" s="47">
        <f t="shared" si="1183"/>
        <v>44147</v>
      </c>
      <c r="B1296" s="47" t="str">
        <f t="shared" si="1146"/>
        <v>四</v>
      </c>
      <c r="C1296" s="48">
        <f t="shared" ref="C1296" si="1269">(V1297-V1296)*1+(W1297-W1296)*32+(X1297-X1296)*12+(Y1297-Y1296)*6</f>
        <v>1918</v>
      </c>
      <c r="D1296" s="84">
        <f t="shared" si="1142"/>
        <v>952</v>
      </c>
      <c r="E1296" s="45">
        <f t="shared" si="1143"/>
        <v>5</v>
      </c>
      <c r="F1296" s="45">
        <f t="shared" ref="F1296" si="1270">(Z1297-Z1296)*1</f>
        <v>92</v>
      </c>
      <c r="G1296" s="79">
        <f t="shared" ref="G1296" si="1271">C1296+D1296+F1296+E1296</f>
        <v>2967</v>
      </c>
      <c r="H1296" s="199">
        <v>2819</v>
      </c>
      <c r="I1296" s="199">
        <v>644</v>
      </c>
      <c r="J1296" s="200">
        <f t="shared" si="1243"/>
        <v>3463</v>
      </c>
      <c r="K1296" s="201">
        <f t="shared" si="1244"/>
        <v>496</v>
      </c>
      <c r="L1296" s="254">
        <v>250</v>
      </c>
      <c r="M1296" s="249">
        <v>0.39583333333333331</v>
      </c>
      <c r="N1296" s="235">
        <v>206537</v>
      </c>
      <c r="O1296" s="235">
        <v>105426</v>
      </c>
      <c r="P1296" s="235">
        <v>10603</v>
      </c>
      <c r="Q1296" s="235"/>
      <c r="R1296" s="235">
        <v>44851</v>
      </c>
      <c r="S1296" s="236">
        <v>9927.2999999999993</v>
      </c>
      <c r="T1296" s="236"/>
      <c r="U1296" s="236"/>
      <c r="V1296" s="235">
        <v>300150</v>
      </c>
      <c r="W1296" s="235">
        <v>126765</v>
      </c>
      <c r="X1296" s="235">
        <v>108031</v>
      </c>
      <c r="Y1296" s="235">
        <v>92778</v>
      </c>
      <c r="Z1296" s="235">
        <v>205244</v>
      </c>
    </row>
    <row r="1297" spans="1:26" ht="18" hidden="1" customHeight="1" x14ac:dyDescent="0.2">
      <c r="A1297" s="47">
        <f t="shared" si="1183"/>
        <v>44148</v>
      </c>
      <c r="B1297" s="47" t="str">
        <f t="shared" si="1146"/>
        <v>五</v>
      </c>
      <c r="C1297" s="48">
        <f t="shared" ref="C1297:C1299" si="1272">(V1298-V1297)*1+(W1298-W1297)*32+(X1298-X1297)*12+(Y1298-Y1297)*6</f>
        <v>0</v>
      </c>
      <c r="D1297" s="84">
        <f t="shared" si="1142"/>
        <v>0</v>
      </c>
      <c r="E1297" s="45">
        <f t="shared" si="1143"/>
        <v>0</v>
      </c>
      <c r="F1297" s="45">
        <f t="shared" ref="F1297:F1299" si="1273">(Z1298-Z1297)*1</f>
        <v>0</v>
      </c>
      <c r="G1297" s="79">
        <f t="shared" ref="G1297:G1299" si="1274">C1297+D1297+F1297+E1297</f>
        <v>0</v>
      </c>
      <c r="H1297" s="199">
        <v>2247</v>
      </c>
      <c r="I1297" s="199">
        <v>603</v>
      </c>
      <c r="J1297" s="200">
        <f t="shared" si="1243"/>
        <v>2850</v>
      </c>
      <c r="K1297" s="201">
        <f t="shared" si="1244"/>
        <v>2850</v>
      </c>
      <c r="L1297" s="254">
        <v>244</v>
      </c>
      <c r="M1297" s="249">
        <v>0.47916666666666669</v>
      </c>
      <c r="N1297" s="235">
        <v>206647</v>
      </c>
      <c r="O1297" s="235">
        <v>105464</v>
      </c>
      <c r="P1297" s="235">
        <v>10612</v>
      </c>
      <c r="Q1297" s="235"/>
      <c r="R1297" s="235">
        <v>44856</v>
      </c>
      <c r="S1297" s="236">
        <v>9927.2999999999993</v>
      </c>
      <c r="T1297" s="236"/>
      <c r="U1297" s="236"/>
      <c r="V1297" s="235">
        <v>300316</v>
      </c>
      <c r="W1297" s="235">
        <v>126789</v>
      </c>
      <c r="X1297" s="235">
        <v>108113</v>
      </c>
      <c r="Y1297" s="235">
        <v>92778</v>
      </c>
      <c r="Z1297" s="235">
        <v>205336</v>
      </c>
    </row>
    <row r="1298" spans="1:26" ht="18" hidden="1" customHeight="1" x14ac:dyDescent="0.2">
      <c r="A1298" s="47">
        <f t="shared" si="1183"/>
        <v>44149</v>
      </c>
      <c r="B1298" s="47" t="str">
        <f t="shared" si="1146"/>
        <v>六</v>
      </c>
      <c r="C1298" s="48">
        <f t="shared" si="1272"/>
        <v>0</v>
      </c>
      <c r="D1298" s="84">
        <f t="shared" si="1142"/>
        <v>0</v>
      </c>
      <c r="E1298" s="45">
        <f t="shared" si="1143"/>
        <v>0</v>
      </c>
      <c r="F1298" s="45">
        <f t="shared" si="1273"/>
        <v>0</v>
      </c>
      <c r="G1298" s="79">
        <f t="shared" si="1274"/>
        <v>0</v>
      </c>
      <c r="H1298" s="199">
        <v>0</v>
      </c>
      <c r="I1298" s="199">
        <f>408+270</f>
        <v>678</v>
      </c>
      <c r="J1298" s="200">
        <f t="shared" si="1243"/>
        <v>678</v>
      </c>
      <c r="K1298" s="201">
        <f t="shared" si="1244"/>
        <v>678</v>
      </c>
      <c r="L1298" s="254">
        <v>40</v>
      </c>
      <c r="M1298" s="249">
        <v>0.97916666666666663</v>
      </c>
      <c r="N1298" s="153">
        <v>206647</v>
      </c>
      <c r="O1298" s="153">
        <v>105464</v>
      </c>
      <c r="P1298" s="153">
        <v>10612</v>
      </c>
      <c r="Q1298" s="153"/>
      <c r="R1298" s="153">
        <v>44856</v>
      </c>
      <c r="S1298" s="154">
        <v>9927.2999999999993</v>
      </c>
      <c r="T1298" s="154"/>
      <c r="U1298" s="154"/>
      <c r="V1298" s="153">
        <v>300316</v>
      </c>
      <c r="W1298" s="153">
        <v>126789</v>
      </c>
      <c r="X1298" s="153">
        <v>108113</v>
      </c>
      <c r="Y1298" s="153">
        <v>92778</v>
      </c>
      <c r="Z1298" s="153">
        <v>205336</v>
      </c>
    </row>
    <row r="1299" spans="1:26" ht="18" hidden="1" customHeight="1" x14ac:dyDescent="0.2">
      <c r="A1299" s="47">
        <f t="shared" si="1183"/>
        <v>44150</v>
      </c>
      <c r="B1299" s="47" t="str">
        <f t="shared" si="1146"/>
        <v>日</v>
      </c>
      <c r="C1299" s="48">
        <f t="shared" si="1272"/>
        <v>3103</v>
      </c>
      <c r="D1299" s="84">
        <f t="shared" si="1142"/>
        <v>496</v>
      </c>
      <c r="E1299" s="45">
        <f t="shared" si="1143"/>
        <v>85</v>
      </c>
      <c r="F1299" s="45">
        <f t="shared" si="1273"/>
        <v>279</v>
      </c>
      <c r="G1299" s="79">
        <f t="shared" si="1274"/>
        <v>3963</v>
      </c>
      <c r="H1299" s="199">
        <v>0</v>
      </c>
      <c r="I1299" s="199">
        <v>642</v>
      </c>
      <c r="J1299" s="200">
        <f t="shared" si="1243"/>
        <v>642</v>
      </c>
      <c r="K1299" s="201">
        <f t="shared" si="1244"/>
        <v>-3321</v>
      </c>
      <c r="L1299" s="254">
        <v>35</v>
      </c>
      <c r="M1299" s="249">
        <v>0.125</v>
      </c>
      <c r="N1299" s="153">
        <v>206647</v>
      </c>
      <c r="O1299" s="153">
        <v>105464</v>
      </c>
      <c r="P1299" s="153">
        <v>10612</v>
      </c>
      <c r="Q1299" s="153"/>
      <c r="R1299" s="153">
        <v>44856</v>
      </c>
      <c r="S1299" s="154">
        <v>9927.2999999999993</v>
      </c>
      <c r="T1299" s="154"/>
      <c r="U1299" s="154"/>
      <c r="V1299" s="153">
        <v>300316</v>
      </c>
      <c r="W1299" s="153">
        <v>126789</v>
      </c>
      <c r="X1299" s="153">
        <v>108113</v>
      </c>
      <c r="Y1299" s="153">
        <v>92778</v>
      </c>
      <c r="Z1299" s="153">
        <v>205336</v>
      </c>
    </row>
    <row r="1300" spans="1:26" ht="18" hidden="1" customHeight="1" x14ac:dyDescent="0.2">
      <c r="A1300" s="47">
        <f t="shared" si="1183"/>
        <v>44151</v>
      </c>
      <c r="B1300" s="47" t="str">
        <f t="shared" si="1146"/>
        <v>一</v>
      </c>
      <c r="C1300" s="48">
        <f t="shared" ref="C1300" si="1275">(V1301-V1300)*1+(W1301-W1300)*32+(X1301-X1300)*12+(Y1301-Y1300)*6</f>
        <v>2194</v>
      </c>
      <c r="D1300" s="84">
        <f t="shared" si="1142"/>
        <v>1024</v>
      </c>
      <c r="E1300" s="45">
        <f t="shared" si="1143"/>
        <v>4</v>
      </c>
      <c r="F1300" s="45">
        <f t="shared" ref="F1300" si="1276">(Z1301-Z1300)*1</f>
        <v>72</v>
      </c>
      <c r="G1300" s="79">
        <f t="shared" ref="G1300" si="1277">C1300+D1300+F1300+E1300</f>
        <v>3294</v>
      </c>
      <c r="H1300" s="199">
        <v>2715</v>
      </c>
      <c r="I1300" s="199">
        <v>386</v>
      </c>
      <c r="J1300" s="200">
        <f t="shared" si="1243"/>
        <v>3101</v>
      </c>
      <c r="K1300" s="201">
        <f t="shared" si="1244"/>
        <v>-193</v>
      </c>
      <c r="L1300" s="254">
        <v>255</v>
      </c>
      <c r="M1300" s="249">
        <v>0.38541666666666669</v>
      </c>
      <c r="N1300" s="235">
        <v>206697</v>
      </c>
      <c r="O1300" s="235">
        <v>105479</v>
      </c>
      <c r="P1300" s="235">
        <v>10624</v>
      </c>
      <c r="Q1300" s="235"/>
      <c r="R1300" s="235">
        <v>44941</v>
      </c>
      <c r="S1300" s="236">
        <v>9927.2999999999993</v>
      </c>
      <c r="T1300" s="236"/>
      <c r="U1300" s="236"/>
      <c r="V1300" s="235">
        <v>300735</v>
      </c>
      <c r="W1300" s="235">
        <v>126847</v>
      </c>
      <c r="X1300" s="235">
        <v>108182</v>
      </c>
      <c r="Y1300" s="235">
        <v>92778</v>
      </c>
      <c r="Z1300" s="235">
        <v>205615</v>
      </c>
    </row>
    <row r="1301" spans="1:26" ht="18" hidden="1" customHeight="1" x14ac:dyDescent="0.2">
      <c r="A1301" s="47">
        <f t="shared" si="1183"/>
        <v>44152</v>
      </c>
      <c r="B1301" s="47" t="str">
        <f t="shared" si="1146"/>
        <v>二</v>
      </c>
      <c r="C1301" s="48">
        <f t="shared" ref="C1301" si="1278">(V1302-V1301)*1+(W1302-W1301)*32+(X1302-X1301)*12+(Y1302-Y1301)*6</f>
        <v>1967</v>
      </c>
      <c r="D1301" s="84">
        <f t="shared" ref="D1301:D1340" si="1279">(N1302-N1301)*8+(P1302-P1301)*8</f>
        <v>952</v>
      </c>
      <c r="E1301" s="45">
        <f t="shared" ref="E1301:E1339" si="1280">(R1302-R1301)*1+(S1302-S1301)*120</f>
        <v>0</v>
      </c>
      <c r="F1301" s="45">
        <f t="shared" ref="F1301" si="1281">(Z1302-Z1301)*1</f>
        <v>83</v>
      </c>
      <c r="G1301" s="79">
        <f t="shared" ref="G1301" si="1282">C1301+D1301+F1301+E1301</f>
        <v>3002</v>
      </c>
      <c r="H1301" s="199">
        <v>2528</v>
      </c>
      <c r="I1301" s="199">
        <v>666</v>
      </c>
      <c r="J1301" s="200">
        <f t="shared" si="1243"/>
        <v>3194</v>
      </c>
      <c r="K1301" s="201">
        <f t="shared" si="1244"/>
        <v>192</v>
      </c>
      <c r="L1301" s="254">
        <v>247</v>
      </c>
      <c r="M1301" s="249">
        <v>0.58333333333333337</v>
      </c>
      <c r="N1301" s="235">
        <v>206817</v>
      </c>
      <c r="O1301" s="235">
        <v>105526</v>
      </c>
      <c r="P1301" s="235">
        <v>10632</v>
      </c>
      <c r="Q1301" s="235"/>
      <c r="R1301" s="235">
        <v>44945</v>
      </c>
      <c r="S1301" s="236">
        <v>9927.2999999999993</v>
      </c>
      <c r="T1301" s="236"/>
      <c r="U1301" s="236"/>
      <c r="V1301" s="235">
        <v>300917</v>
      </c>
      <c r="W1301" s="235">
        <v>126881</v>
      </c>
      <c r="X1301" s="235">
        <v>108259</v>
      </c>
      <c r="Y1301" s="235">
        <v>92778</v>
      </c>
      <c r="Z1301" s="235">
        <v>205687</v>
      </c>
    </row>
    <row r="1302" spans="1:26" ht="18" hidden="1" customHeight="1" x14ac:dyDescent="0.2">
      <c r="A1302" s="47">
        <f t="shared" si="1183"/>
        <v>44153</v>
      </c>
      <c r="B1302" s="47" t="str">
        <f t="shared" ref="B1302:B1345" si="1283">B1295</f>
        <v>三</v>
      </c>
      <c r="C1302" s="48">
        <f t="shared" ref="C1302" si="1284">(V1303-V1302)*1+(W1303-W1302)*32+(X1303-X1302)*12+(Y1303-Y1302)*6</f>
        <v>2308</v>
      </c>
      <c r="D1302" s="84">
        <f t="shared" si="1279"/>
        <v>1128</v>
      </c>
      <c r="E1302" s="45">
        <f t="shared" si="1280"/>
        <v>1</v>
      </c>
      <c r="F1302" s="45">
        <f t="shared" ref="F1302" si="1285">(Z1303-Z1302)*1</f>
        <v>56</v>
      </c>
      <c r="G1302" s="79">
        <f t="shared" ref="G1302" si="1286">C1302+D1302+F1302+E1302</f>
        <v>3493</v>
      </c>
      <c r="H1302" s="199">
        <v>2700</v>
      </c>
      <c r="I1302" s="199">
        <v>680</v>
      </c>
      <c r="J1302" s="200">
        <f t="shared" si="1243"/>
        <v>3380</v>
      </c>
      <c r="K1302" s="201">
        <f t="shared" si="1244"/>
        <v>-113</v>
      </c>
      <c r="L1302" s="254">
        <v>263</v>
      </c>
      <c r="M1302" s="249">
        <v>0.58333333333333337</v>
      </c>
      <c r="N1302" s="235">
        <v>206927</v>
      </c>
      <c r="O1302" s="235">
        <v>105567</v>
      </c>
      <c r="P1302" s="235">
        <v>10641</v>
      </c>
      <c r="Q1302" s="235"/>
      <c r="R1302" s="235">
        <v>44945</v>
      </c>
      <c r="S1302" s="236">
        <v>9927.2999999999993</v>
      </c>
      <c r="T1302" s="236"/>
      <c r="U1302" s="236"/>
      <c r="V1302" s="235">
        <v>301096</v>
      </c>
      <c r="W1302" s="235">
        <v>126914</v>
      </c>
      <c r="X1302" s="235">
        <v>108320</v>
      </c>
      <c r="Y1302" s="235">
        <v>92778</v>
      </c>
      <c r="Z1302" s="235">
        <v>205770</v>
      </c>
    </row>
    <row r="1303" spans="1:26" ht="18" hidden="1" customHeight="1" x14ac:dyDescent="0.2">
      <c r="A1303" s="47">
        <f t="shared" si="1183"/>
        <v>44154</v>
      </c>
      <c r="B1303" s="47" t="str">
        <f t="shared" si="1283"/>
        <v>四</v>
      </c>
      <c r="C1303" s="48">
        <f t="shared" ref="C1303" si="1287">(V1304-V1303)*1+(W1304-W1303)*32+(X1304-X1303)*12+(Y1304-Y1303)*6</f>
        <v>2105</v>
      </c>
      <c r="D1303" s="84">
        <f t="shared" si="1279"/>
        <v>856</v>
      </c>
      <c r="E1303" s="45">
        <f t="shared" si="1280"/>
        <v>11</v>
      </c>
      <c r="F1303" s="45">
        <f t="shared" ref="F1303" si="1288">(Z1304-Z1303)*1</f>
        <v>55</v>
      </c>
      <c r="G1303" s="79">
        <f t="shared" ref="G1303" si="1289">C1303+D1303+F1303+E1303</f>
        <v>3027</v>
      </c>
      <c r="H1303" s="199">
        <v>2763</v>
      </c>
      <c r="I1303" s="199">
        <v>671</v>
      </c>
      <c r="J1303" s="200">
        <f t="shared" si="1243"/>
        <v>3434</v>
      </c>
      <c r="K1303" s="201">
        <f t="shared" si="1244"/>
        <v>407</v>
      </c>
      <c r="L1303" s="254">
        <v>245</v>
      </c>
      <c r="M1303" s="249">
        <v>0.5</v>
      </c>
      <c r="N1303" s="235">
        <v>207057</v>
      </c>
      <c r="O1303" s="235">
        <v>105614</v>
      </c>
      <c r="P1303" s="235">
        <v>10652</v>
      </c>
      <c r="Q1303" s="235"/>
      <c r="R1303" s="235">
        <v>44946</v>
      </c>
      <c r="S1303" s="236">
        <v>9927.2999999999993</v>
      </c>
      <c r="T1303" s="236"/>
      <c r="U1303" s="236"/>
      <c r="V1303" s="235">
        <v>301316</v>
      </c>
      <c r="W1303" s="235">
        <v>126953</v>
      </c>
      <c r="X1303" s="235">
        <v>108390</v>
      </c>
      <c r="Y1303" s="235">
        <v>92778</v>
      </c>
      <c r="Z1303" s="235">
        <v>205826</v>
      </c>
    </row>
    <row r="1304" spans="1:26" ht="18" hidden="1" customHeight="1" x14ac:dyDescent="0.2">
      <c r="A1304" s="47">
        <f t="shared" si="1183"/>
        <v>44155</v>
      </c>
      <c r="B1304" s="47" t="str">
        <f t="shared" si="1283"/>
        <v>五</v>
      </c>
      <c r="C1304" s="48">
        <f t="shared" ref="C1304:C1306" si="1290">(V1305-V1304)*1+(W1305-W1304)*32+(X1305-X1304)*12+(Y1305-Y1304)*6</f>
        <v>0</v>
      </c>
      <c r="D1304" s="84">
        <f t="shared" si="1279"/>
        <v>0</v>
      </c>
      <c r="E1304" s="45">
        <f t="shared" si="1280"/>
        <v>0</v>
      </c>
      <c r="F1304" s="45">
        <f t="shared" ref="F1304:F1306" si="1291">(Z1305-Z1304)*1</f>
        <v>0</v>
      </c>
      <c r="G1304" s="79">
        <f t="shared" ref="G1304:G1306" si="1292">C1304+D1304+F1304+E1304</f>
        <v>0</v>
      </c>
      <c r="H1304" s="199">
        <v>2818</v>
      </c>
      <c r="I1304" s="199">
        <v>680</v>
      </c>
      <c r="J1304" s="200">
        <f t="shared" si="1243"/>
        <v>3498</v>
      </c>
      <c r="K1304" s="201">
        <f t="shared" si="1244"/>
        <v>3498</v>
      </c>
      <c r="L1304" s="254">
        <v>255</v>
      </c>
      <c r="M1304" s="249">
        <v>0.41666666666666669</v>
      </c>
      <c r="N1304" s="235">
        <v>207157</v>
      </c>
      <c r="O1304" s="235">
        <v>105657</v>
      </c>
      <c r="P1304" s="235">
        <v>10659</v>
      </c>
      <c r="Q1304" s="235"/>
      <c r="R1304" s="235">
        <v>44957</v>
      </c>
      <c r="S1304" s="236">
        <v>9927.2999999999993</v>
      </c>
      <c r="T1304" s="236"/>
      <c r="U1304" s="236"/>
      <c r="V1304" s="235">
        <v>301521</v>
      </c>
      <c r="W1304" s="235">
        <v>126991</v>
      </c>
      <c r="X1304" s="235">
        <v>108447</v>
      </c>
      <c r="Y1304" s="235">
        <v>92778</v>
      </c>
      <c r="Z1304" s="235">
        <v>205881</v>
      </c>
    </row>
    <row r="1305" spans="1:26" ht="18" hidden="1" customHeight="1" x14ac:dyDescent="0.2">
      <c r="A1305" s="47">
        <f t="shared" si="1183"/>
        <v>44156</v>
      </c>
      <c r="B1305" s="47" t="str">
        <f t="shared" si="1283"/>
        <v>六</v>
      </c>
      <c r="C1305" s="48">
        <f t="shared" si="1290"/>
        <v>0</v>
      </c>
      <c r="D1305" s="84">
        <f t="shared" si="1279"/>
        <v>0</v>
      </c>
      <c r="E1305" s="45">
        <f t="shared" si="1280"/>
        <v>0</v>
      </c>
      <c r="F1305" s="45">
        <f t="shared" si="1291"/>
        <v>0</v>
      </c>
      <c r="G1305" s="79">
        <f t="shared" si="1292"/>
        <v>0</v>
      </c>
      <c r="H1305" s="199">
        <v>0</v>
      </c>
      <c r="I1305" s="199">
        <f>398+504</f>
        <v>902</v>
      </c>
      <c r="J1305" s="200">
        <f t="shared" si="1243"/>
        <v>902</v>
      </c>
      <c r="K1305" s="201">
        <f t="shared" si="1244"/>
        <v>902</v>
      </c>
      <c r="L1305" s="254">
        <v>71</v>
      </c>
      <c r="M1305" s="249">
        <v>9.375E-2</v>
      </c>
      <c r="N1305" s="153">
        <v>207157</v>
      </c>
      <c r="O1305" s="153">
        <v>105657</v>
      </c>
      <c r="P1305" s="153">
        <v>10659</v>
      </c>
      <c r="Q1305" s="153"/>
      <c r="R1305" s="153">
        <v>44957</v>
      </c>
      <c r="S1305" s="154">
        <v>9927.2999999999993</v>
      </c>
      <c r="T1305" s="154"/>
      <c r="U1305" s="154"/>
      <c r="V1305" s="153">
        <v>301521</v>
      </c>
      <c r="W1305" s="153">
        <v>126991</v>
      </c>
      <c r="X1305" s="153">
        <v>108447</v>
      </c>
      <c r="Y1305" s="153">
        <v>92778</v>
      </c>
      <c r="Z1305" s="153">
        <v>205881</v>
      </c>
    </row>
    <row r="1306" spans="1:26" ht="18" hidden="1" customHeight="1" x14ac:dyDescent="0.2">
      <c r="A1306" s="47">
        <f t="shared" si="1183"/>
        <v>44157</v>
      </c>
      <c r="B1306" s="47" t="str">
        <f t="shared" si="1283"/>
        <v>日</v>
      </c>
      <c r="C1306" s="48">
        <f t="shared" si="1290"/>
        <v>3040</v>
      </c>
      <c r="D1306" s="84">
        <f t="shared" si="1279"/>
        <v>1696</v>
      </c>
      <c r="E1306" s="45">
        <f t="shared" si="1280"/>
        <v>62</v>
      </c>
      <c r="F1306" s="45">
        <f t="shared" si="1291"/>
        <v>178</v>
      </c>
      <c r="G1306" s="79">
        <f t="shared" si="1292"/>
        <v>4976</v>
      </c>
      <c r="H1306" s="199">
        <v>0</v>
      </c>
      <c r="I1306" s="199">
        <v>863</v>
      </c>
      <c r="J1306" s="200">
        <f t="shared" si="1243"/>
        <v>863</v>
      </c>
      <c r="K1306" s="201">
        <f t="shared" si="1244"/>
        <v>-4113</v>
      </c>
      <c r="L1306" s="254">
        <v>87</v>
      </c>
      <c r="M1306" s="249">
        <v>0.95833333333333337</v>
      </c>
      <c r="N1306" s="153">
        <v>207157</v>
      </c>
      <c r="O1306" s="153">
        <v>105657</v>
      </c>
      <c r="P1306" s="153">
        <v>10659</v>
      </c>
      <c r="Q1306" s="153"/>
      <c r="R1306" s="153">
        <v>44957</v>
      </c>
      <c r="S1306" s="154">
        <v>9927.2999999999993</v>
      </c>
      <c r="T1306" s="154"/>
      <c r="U1306" s="154"/>
      <c r="V1306" s="153">
        <v>301521</v>
      </c>
      <c r="W1306" s="153">
        <v>126991</v>
      </c>
      <c r="X1306" s="153">
        <v>108447</v>
      </c>
      <c r="Y1306" s="153">
        <v>92778</v>
      </c>
      <c r="Z1306" s="153">
        <v>205881</v>
      </c>
    </row>
    <row r="1307" spans="1:26" ht="18" hidden="1" customHeight="1" x14ac:dyDescent="0.2">
      <c r="A1307" s="47">
        <f t="shared" si="1183"/>
        <v>44158</v>
      </c>
      <c r="B1307" s="47" t="str">
        <f t="shared" si="1283"/>
        <v>一</v>
      </c>
      <c r="C1307" s="48">
        <f t="shared" ref="C1307" si="1293">(V1308-V1307)*1+(W1308-W1307)*32+(X1308-X1307)*12+(Y1308-Y1307)*6</f>
        <v>2150</v>
      </c>
      <c r="D1307" s="84">
        <f t="shared" si="1279"/>
        <v>1088</v>
      </c>
      <c r="E1307" s="45">
        <f t="shared" si="1280"/>
        <v>21</v>
      </c>
      <c r="F1307" s="45">
        <f t="shared" ref="F1307" si="1294">(Z1308-Z1307)*1</f>
        <v>78</v>
      </c>
      <c r="G1307" s="79">
        <f t="shared" ref="G1307" si="1295">C1307+D1307+F1307+E1307</f>
        <v>3337</v>
      </c>
      <c r="H1307" s="199">
        <v>2708</v>
      </c>
      <c r="I1307" s="199">
        <v>708</v>
      </c>
      <c r="J1307" s="200">
        <f t="shared" si="1243"/>
        <v>3416</v>
      </c>
      <c r="K1307" s="201">
        <f t="shared" si="1244"/>
        <v>79</v>
      </c>
      <c r="L1307" s="254">
        <v>256</v>
      </c>
      <c r="M1307" s="249">
        <v>0.44791666666666669</v>
      </c>
      <c r="N1307" s="235">
        <v>207347</v>
      </c>
      <c r="O1307" s="235">
        <v>105737</v>
      </c>
      <c r="P1307" s="235">
        <v>10681</v>
      </c>
      <c r="Q1307" s="235"/>
      <c r="R1307" s="235">
        <v>45019</v>
      </c>
      <c r="S1307" s="236">
        <v>9927.2999999999993</v>
      </c>
      <c r="T1307" s="236"/>
      <c r="U1307" s="236"/>
      <c r="V1307" s="235">
        <v>301965</v>
      </c>
      <c r="W1307" s="235">
        <v>127047</v>
      </c>
      <c r="X1307" s="235">
        <v>108514</v>
      </c>
      <c r="Y1307" s="235">
        <v>92778</v>
      </c>
      <c r="Z1307" s="235">
        <v>206059</v>
      </c>
    </row>
    <row r="1308" spans="1:26" ht="18" hidden="1" customHeight="1" x14ac:dyDescent="0.2">
      <c r="A1308" s="47">
        <f t="shared" si="1183"/>
        <v>44159</v>
      </c>
      <c r="B1308" s="47" t="str">
        <f t="shared" si="1283"/>
        <v>二</v>
      </c>
      <c r="C1308" s="48">
        <f t="shared" ref="C1308" si="1296">(V1309-V1308)*1+(W1309-W1308)*32+(X1309-X1308)*12+(Y1309-Y1308)*6</f>
        <v>2047</v>
      </c>
      <c r="D1308" s="84">
        <f t="shared" si="1279"/>
        <v>1104</v>
      </c>
      <c r="E1308" s="45">
        <f t="shared" si="1280"/>
        <v>11</v>
      </c>
      <c r="F1308" s="45">
        <f t="shared" ref="F1308" si="1297">(Z1309-Z1308)*1</f>
        <v>76</v>
      </c>
      <c r="G1308" s="79">
        <f t="shared" ref="G1308" si="1298">C1308+D1308+F1308+E1308</f>
        <v>3238</v>
      </c>
      <c r="H1308" s="199">
        <v>2640</v>
      </c>
      <c r="I1308" s="199">
        <v>723</v>
      </c>
      <c r="J1308" s="200">
        <f t="shared" si="1243"/>
        <v>3363</v>
      </c>
      <c r="K1308" s="201">
        <f t="shared" si="1244"/>
        <v>125</v>
      </c>
      <c r="L1308" s="254">
        <v>246</v>
      </c>
      <c r="M1308" s="249">
        <v>0.38541666666666669</v>
      </c>
      <c r="N1308" s="235">
        <v>207477</v>
      </c>
      <c r="O1308" s="235">
        <v>105786</v>
      </c>
      <c r="P1308" s="235">
        <v>10687</v>
      </c>
      <c r="Q1308" s="235"/>
      <c r="R1308" s="235">
        <v>45040</v>
      </c>
      <c r="S1308" s="236">
        <v>9927.2999999999993</v>
      </c>
      <c r="T1308" s="236"/>
      <c r="U1308" s="236"/>
      <c r="V1308" s="235">
        <v>302135</v>
      </c>
      <c r="W1308" s="235">
        <v>127080</v>
      </c>
      <c r="X1308" s="235">
        <v>108591</v>
      </c>
      <c r="Y1308" s="235">
        <v>92778</v>
      </c>
      <c r="Z1308" s="235">
        <v>206137</v>
      </c>
    </row>
    <row r="1309" spans="1:26" ht="18" hidden="1" customHeight="1" x14ac:dyDescent="0.2">
      <c r="A1309" s="47">
        <f t="shared" si="1183"/>
        <v>44160</v>
      </c>
      <c r="B1309" s="47" t="str">
        <f t="shared" si="1283"/>
        <v>三</v>
      </c>
      <c r="C1309" s="48">
        <f t="shared" ref="C1309" si="1299">(V1310-V1309)*1+(W1310-W1309)*32+(X1310-X1309)*12+(Y1310-Y1309)*6</f>
        <v>2334</v>
      </c>
      <c r="D1309" s="84">
        <f t="shared" si="1279"/>
        <v>144</v>
      </c>
      <c r="E1309" s="45">
        <f t="shared" si="1280"/>
        <v>5</v>
      </c>
      <c r="F1309" s="45">
        <f t="shared" ref="F1309" si="1300">(Z1310-Z1309)*1</f>
        <v>61</v>
      </c>
      <c r="G1309" s="79">
        <f t="shared" ref="G1309" si="1301">C1309+D1309+F1309+E1309</f>
        <v>2544</v>
      </c>
      <c r="H1309" s="199">
        <v>2741</v>
      </c>
      <c r="I1309" s="199">
        <v>743</v>
      </c>
      <c r="J1309" s="200">
        <f t="shared" si="1243"/>
        <v>3484</v>
      </c>
      <c r="K1309" s="201">
        <f t="shared" si="1244"/>
        <v>940</v>
      </c>
      <c r="L1309" s="254">
        <v>239</v>
      </c>
      <c r="M1309" s="249">
        <v>0.39583333333333331</v>
      </c>
      <c r="N1309" s="235">
        <v>207607</v>
      </c>
      <c r="O1309" s="235">
        <v>105833</v>
      </c>
      <c r="P1309" s="235">
        <v>10695</v>
      </c>
      <c r="Q1309" s="235"/>
      <c r="R1309" s="235">
        <v>45051</v>
      </c>
      <c r="S1309" s="236">
        <v>9927.2999999999993</v>
      </c>
      <c r="T1309" s="236"/>
      <c r="U1309" s="236"/>
      <c r="V1309" s="235">
        <v>302306</v>
      </c>
      <c r="W1309" s="235">
        <v>127112</v>
      </c>
      <c r="X1309" s="235">
        <v>108662</v>
      </c>
      <c r="Y1309" s="235">
        <v>92778</v>
      </c>
      <c r="Z1309" s="235">
        <v>206213</v>
      </c>
    </row>
    <row r="1310" spans="1:26" ht="18" hidden="1" customHeight="1" x14ac:dyDescent="0.2">
      <c r="A1310" s="47">
        <f t="shared" si="1183"/>
        <v>44161</v>
      </c>
      <c r="B1310" s="47" t="str">
        <f t="shared" si="1283"/>
        <v>四</v>
      </c>
      <c r="C1310" s="48">
        <f t="shared" ref="C1310" si="1302">(V1311-V1310)*1+(W1311-W1310)*32+(X1311-X1310)*12+(Y1311-Y1310)*6</f>
        <v>2135</v>
      </c>
      <c r="D1310" s="84">
        <f t="shared" si="1279"/>
        <v>1808</v>
      </c>
      <c r="E1310" s="45">
        <f t="shared" si="1280"/>
        <v>17</v>
      </c>
      <c r="F1310" s="45">
        <f t="shared" ref="F1310" si="1303">(Z1311-Z1310)*1</f>
        <v>67</v>
      </c>
      <c r="G1310" s="79">
        <f t="shared" ref="G1310" si="1304">C1310+D1310+F1310+E1310</f>
        <v>4027</v>
      </c>
      <c r="H1310" s="199">
        <v>2677</v>
      </c>
      <c r="I1310" s="199">
        <v>722</v>
      </c>
      <c r="J1310" s="200">
        <f t="shared" si="1243"/>
        <v>3399</v>
      </c>
      <c r="K1310" s="201">
        <f t="shared" si="1244"/>
        <v>-628</v>
      </c>
      <c r="L1310" s="254">
        <v>242</v>
      </c>
      <c r="M1310" s="249" t="s">
        <v>186</v>
      </c>
      <c r="N1310" s="235">
        <v>207617</v>
      </c>
      <c r="O1310" s="235">
        <v>105879</v>
      </c>
      <c r="P1310" s="235">
        <v>10703</v>
      </c>
      <c r="Q1310" s="235"/>
      <c r="R1310" s="235">
        <v>45056</v>
      </c>
      <c r="S1310" s="236">
        <v>9927.2999999999993</v>
      </c>
      <c r="T1310" s="236"/>
      <c r="U1310" s="236"/>
      <c r="V1310" s="235">
        <v>302496</v>
      </c>
      <c r="W1310" s="235">
        <v>127152</v>
      </c>
      <c r="X1310" s="235">
        <v>108734</v>
      </c>
      <c r="Y1310" s="235">
        <v>92778</v>
      </c>
      <c r="Z1310" s="235">
        <v>206274</v>
      </c>
    </row>
    <row r="1311" spans="1:26" ht="18" hidden="1" customHeight="1" x14ac:dyDescent="0.2">
      <c r="A1311" s="47">
        <f t="shared" si="1183"/>
        <v>44162</v>
      </c>
      <c r="B1311" s="47" t="str">
        <f t="shared" si="1283"/>
        <v>五</v>
      </c>
      <c r="C1311" s="48">
        <f t="shared" ref="C1311:C1313" si="1305">(V1312-V1311)*1+(W1312-W1311)*32+(X1312-X1311)*12+(Y1312-Y1311)*6</f>
        <v>0</v>
      </c>
      <c r="D1311" s="84">
        <f t="shared" si="1279"/>
        <v>0</v>
      </c>
      <c r="E1311" s="45">
        <f t="shared" si="1280"/>
        <v>0</v>
      </c>
      <c r="F1311" s="45">
        <f t="shared" ref="F1311:F1313" si="1306">(Z1312-Z1311)*1</f>
        <v>0</v>
      </c>
      <c r="G1311" s="79">
        <f t="shared" ref="G1311:G1313" si="1307">C1311+D1311+F1311+E1311</f>
        <v>0</v>
      </c>
      <c r="H1311" s="199">
        <v>2415</v>
      </c>
      <c r="I1311" s="199">
        <v>694</v>
      </c>
      <c r="J1311" s="200">
        <f t="shared" si="1243"/>
        <v>3109</v>
      </c>
      <c r="K1311" s="201">
        <f t="shared" si="1244"/>
        <v>3109</v>
      </c>
      <c r="L1311" s="254">
        <v>229</v>
      </c>
      <c r="M1311" s="249">
        <v>0.45833333333333331</v>
      </c>
      <c r="N1311" s="235">
        <v>207837</v>
      </c>
      <c r="O1311" s="235">
        <v>105924</v>
      </c>
      <c r="P1311" s="235">
        <v>10709</v>
      </c>
      <c r="Q1311" s="235"/>
      <c r="R1311" s="235">
        <v>45073</v>
      </c>
      <c r="S1311" s="236">
        <v>9927.2999999999993</v>
      </c>
      <c r="T1311" s="236"/>
      <c r="U1311" s="236"/>
      <c r="V1311" s="235">
        <v>302667</v>
      </c>
      <c r="W1311" s="235">
        <v>127186</v>
      </c>
      <c r="X1311" s="235">
        <v>108807</v>
      </c>
      <c r="Y1311" s="235">
        <v>92778</v>
      </c>
      <c r="Z1311" s="235">
        <v>206341</v>
      </c>
    </row>
    <row r="1312" spans="1:26" ht="18" hidden="1" customHeight="1" x14ac:dyDescent="0.2">
      <c r="A1312" s="47">
        <f t="shared" si="1183"/>
        <v>44163</v>
      </c>
      <c r="B1312" s="47" t="str">
        <f t="shared" si="1283"/>
        <v>六</v>
      </c>
      <c r="C1312" s="48">
        <f t="shared" si="1305"/>
        <v>0</v>
      </c>
      <c r="D1312" s="84">
        <f t="shared" si="1279"/>
        <v>0</v>
      </c>
      <c r="E1312" s="45">
        <f t="shared" si="1280"/>
        <v>0</v>
      </c>
      <c r="F1312" s="45">
        <f t="shared" si="1306"/>
        <v>0</v>
      </c>
      <c r="G1312" s="79">
        <f t="shared" si="1307"/>
        <v>0</v>
      </c>
      <c r="H1312" s="199">
        <v>0</v>
      </c>
      <c r="I1312" s="199">
        <f>1053+50</f>
        <v>1103</v>
      </c>
      <c r="J1312" s="200">
        <f t="shared" si="1243"/>
        <v>1103</v>
      </c>
      <c r="K1312" s="201">
        <f t="shared" si="1244"/>
        <v>1103</v>
      </c>
      <c r="L1312" s="254">
        <v>80</v>
      </c>
      <c r="M1312" s="249">
        <v>6.25E-2</v>
      </c>
      <c r="N1312" s="153">
        <v>207837</v>
      </c>
      <c r="O1312" s="153">
        <v>105924</v>
      </c>
      <c r="P1312" s="153">
        <v>10709</v>
      </c>
      <c r="Q1312" s="153"/>
      <c r="R1312" s="153">
        <v>45073</v>
      </c>
      <c r="S1312" s="154">
        <v>9927.2999999999993</v>
      </c>
      <c r="T1312" s="154"/>
      <c r="U1312" s="154"/>
      <c r="V1312" s="153">
        <v>302667</v>
      </c>
      <c r="W1312" s="153">
        <v>127186</v>
      </c>
      <c r="X1312" s="153">
        <v>108807</v>
      </c>
      <c r="Y1312" s="153">
        <v>92778</v>
      </c>
      <c r="Z1312" s="153">
        <v>206341</v>
      </c>
    </row>
    <row r="1313" spans="1:26" ht="18" hidden="1" customHeight="1" x14ac:dyDescent="0.2">
      <c r="A1313" s="47">
        <f t="shared" si="1183"/>
        <v>44164</v>
      </c>
      <c r="B1313" s="47" t="str">
        <f t="shared" si="1283"/>
        <v>日</v>
      </c>
      <c r="C1313" s="48">
        <f t="shared" si="1305"/>
        <v>2636</v>
      </c>
      <c r="D1313" s="84">
        <f t="shared" si="1279"/>
        <v>3208</v>
      </c>
      <c r="E1313" s="45">
        <f t="shared" si="1280"/>
        <v>53</v>
      </c>
      <c r="F1313" s="45">
        <f t="shared" si="1306"/>
        <v>303</v>
      </c>
      <c r="G1313" s="79">
        <f t="shared" si="1307"/>
        <v>6200</v>
      </c>
      <c r="H1313" s="199">
        <v>0</v>
      </c>
      <c r="I1313" s="199">
        <v>1682</v>
      </c>
      <c r="J1313" s="200">
        <f t="shared" si="1243"/>
        <v>1682</v>
      </c>
      <c r="K1313" s="201">
        <f t="shared" si="1244"/>
        <v>-4518</v>
      </c>
      <c r="L1313" s="254">
        <v>78</v>
      </c>
      <c r="M1313" s="249" t="s">
        <v>187</v>
      </c>
      <c r="N1313" s="153">
        <v>207837</v>
      </c>
      <c r="O1313" s="153">
        <v>105924</v>
      </c>
      <c r="P1313" s="153">
        <v>10709</v>
      </c>
      <c r="Q1313" s="153"/>
      <c r="R1313" s="153">
        <v>45073</v>
      </c>
      <c r="S1313" s="154">
        <v>9927.2999999999993</v>
      </c>
      <c r="T1313" s="154"/>
      <c r="U1313" s="154"/>
      <c r="V1313" s="153">
        <v>302667</v>
      </c>
      <c r="W1313" s="153">
        <v>127186</v>
      </c>
      <c r="X1313" s="153">
        <v>108807</v>
      </c>
      <c r="Y1313" s="153">
        <v>92778</v>
      </c>
      <c r="Z1313" s="153">
        <v>206341</v>
      </c>
    </row>
    <row r="1314" spans="1:26" ht="18" hidden="1" customHeight="1" x14ac:dyDescent="0.2">
      <c r="A1314" s="47">
        <f t="shared" si="1183"/>
        <v>44165</v>
      </c>
      <c r="B1314" s="47" t="str">
        <f t="shared" si="1283"/>
        <v>一</v>
      </c>
      <c r="C1314" s="48">
        <f t="shared" ref="C1314" si="1308">(V1315-V1314)*1+(W1315-W1314)*32+(X1315-X1314)*12+(Y1315-Y1314)*6</f>
        <v>2271</v>
      </c>
      <c r="D1314" s="84">
        <f t="shared" si="1279"/>
        <v>1888</v>
      </c>
      <c r="E1314" s="45">
        <f t="shared" si="1280"/>
        <v>25</v>
      </c>
      <c r="F1314" s="45">
        <f t="shared" ref="F1314" si="1309">(Z1315-Z1314)*1</f>
        <v>113</v>
      </c>
      <c r="G1314" s="79">
        <f t="shared" ref="G1314" si="1310">C1314+D1314+F1314+E1314</f>
        <v>4297</v>
      </c>
      <c r="H1314" s="199">
        <v>2883</v>
      </c>
      <c r="I1314" s="199">
        <v>691</v>
      </c>
      <c r="J1314" s="200">
        <f t="shared" si="1243"/>
        <v>3574</v>
      </c>
      <c r="K1314" s="201">
        <f t="shared" si="1244"/>
        <v>-723</v>
      </c>
      <c r="L1314" s="254">
        <v>256</v>
      </c>
      <c r="M1314" s="249">
        <v>0.41666666666666669</v>
      </c>
      <c r="N1314" s="235">
        <v>208217</v>
      </c>
      <c r="O1314" s="235">
        <v>106067</v>
      </c>
      <c r="P1314" s="235">
        <v>10730</v>
      </c>
      <c r="Q1314" s="235"/>
      <c r="R1314" s="235">
        <v>45126</v>
      </c>
      <c r="S1314" s="236">
        <v>9927.2999999999993</v>
      </c>
      <c r="T1314" s="236"/>
      <c r="U1314" s="236"/>
      <c r="V1314" s="235">
        <v>303091</v>
      </c>
      <c r="W1314" s="235">
        <v>127233</v>
      </c>
      <c r="X1314" s="235">
        <v>108866</v>
      </c>
      <c r="Y1314" s="235">
        <v>92778</v>
      </c>
      <c r="Z1314" s="235">
        <v>206644</v>
      </c>
    </row>
    <row r="1315" spans="1:26" ht="18" hidden="1" customHeight="1" thickTop="1" x14ac:dyDescent="0.2">
      <c r="A1315" s="47">
        <f t="shared" si="1183"/>
        <v>44166</v>
      </c>
      <c r="B1315" s="47" t="str">
        <f t="shared" si="1283"/>
        <v>二</v>
      </c>
      <c r="C1315" s="48">
        <f t="shared" ref="C1315" si="1311">(V1316-V1315)*1+(W1316-W1315)*32+(X1316-X1315)*12+(Y1316-Y1315)*6</f>
        <v>1978</v>
      </c>
      <c r="D1315" s="84">
        <f t="shared" si="1279"/>
        <v>232</v>
      </c>
      <c r="E1315" s="45">
        <f t="shared" si="1280"/>
        <v>19</v>
      </c>
      <c r="F1315" s="45">
        <f t="shared" ref="F1315" si="1312">(Z1316-Z1315)*1</f>
        <v>120</v>
      </c>
      <c r="G1315" s="79">
        <f t="shared" ref="G1315" si="1313">C1315+D1315+F1315+E1315</f>
        <v>2349</v>
      </c>
      <c r="H1315" s="199">
        <v>2596</v>
      </c>
      <c r="I1315" s="199">
        <v>735</v>
      </c>
      <c r="J1315" s="200">
        <f t="shared" si="1243"/>
        <v>3331</v>
      </c>
      <c r="K1315" s="201">
        <f t="shared" si="1244"/>
        <v>982</v>
      </c>
      <c r="L1315" s="276">
        <v>243</v>
      </c>
      <c r="M1315" s="249">
        <v>0.42708333333333331</v>
      </c>
      <c r="N1315" s="235">
        <v>208447</v>
      </c>
      <c r="O1315" s="235">
        <v>106115</v>
      </c>
      <c r="P1315" s="235">
        <v>10736</v>
      </c>
      <c r="Q1315" s="235"/>
      <c r="R1315" s="235">
        <v>45151</v>
      </c>
      <c r="S1315" s="236">
        <v>9927.2999999999993</v>
      </c>
      <c r="T1315" s="236"/>
      <c r="U1315" s="236"/>
      <c r="V1315" s="235">
        <v>303262</v>
      </c>
      <c r="W1315" s="235">
        <v>127266</v>
      </c>
      <c r="X1315" s="235">
        <v>108953</v>
      </c>
      <c r="Y1315" s="235">
        <v>92778</v>
      </c>
      <c r="Z1315" s="235">
        <v>206757</v>
      </c>
    </row>
    <row r="1316" spans="1:26" ht="18" hidden="1" customHeight="1" x14ac:dyDescent="0.2">
      <c r="A1316" s="47">
        <f t="shared" si="1183"/>
        <v>44167</v>
      </c>
      <c r="B1316" s="47" t="str">
        <f t="shared" si="1283"/>
        <v>三</v>
      </c>
      <c r="C1316" s="48">
        <f t="shared" ref="C1316" si="1314">(V1317-V1316)*1+(W1317-W1316)*32+(X1317-X1316)*12+(Y1317-Y1316)*6</f>
        <v>1943</v>
      </c>
      <c r="D1316" s="84">
        <f t="shared" si="1279"/>
        <v>1200</v>
      </c>
      <c r="E1316" s="45">
        <f t="shared" si="1280"/>
        <v>25</v>
      </c>
      <c r="F1316" s="45">
        <f t="shared" ref="F1316" si="1315">(Z1317-Z1316)*1</f>
        <v>124</v>
      </c>
      <c r="G1316" s="79">
        <f t="shared" ref="G1316" si="1316">C1316+D1316+F1316+E1316</f>
        <v>3292</v>
      </c>
      <c r="H1316" s="199">
        <v>2594</v>
      </c>
      <c r="I1316" s="199">
        <v>752</v>
      </c>
      <c r="J1316" s="200">
        <f t="shared" si="1243"/>
        <v>3346</v>
      </c>
      <c r="K1316" s="201">
        <f t="shared" si="1244"/>
        <v>54</v>
      </c>
      <c r="L1316" s="276">
        <v>234</v>
      </c>
      <c r="M1316" s="249">
        <v>0.70833333333333337</v>
      </c>
      <c r="N1316" s="235">
        <v>208467</v>
      </c>
      <c r="O1316" s="235">
        <v>106163</v>
      </c>
      <c r="P1316" s="235">
        <v>10745</v>
      </c>
      <c r="Q1316" s="235"/>
      <c r="R1316" s="235">
        <v>45170</v>
      </c>
      <c r="S1316" s="236">
        <v>9927.2999999999993</v>
      </c>
      <c r="T1316" s="236"/>
      <c r="U1316" s="236"/>
      <c r="V1316" s="235">
        <v>303428</v>
      </c>
      <c r="W1316" s="235">
        <v>127296</v>
      </c>
      <c r="X1316" s="235">
        <v>109024</v>
      </c>
      <c r="Y1316" s="235">
        <v>92778</v>
      </c>
      <c r="Z1316" s="235">
        <v>206877</v>
      </c>
    </row>
    <row r="1317" spans="1:26" ht="18" hidden="1" customHeight="1" x14ac:dyDescent="0.2">
      <c r="A1317" s="47">
        <f t="shared" si="1183"/>
        <v>44168</v>
      </c>
      <c r="B1317" s="47" t="str">
        <f t="shared" si="1283"/>
        <v>四</v>
      </c>
      <c r="C1317" s="48">
        <f t="shared" ref="C1317" si="1317">(V1318-V1317)*1+(W1318-W1317)*32+(X1318-X1317)*12+(Y1318-Y1317)*6</f>
        <v>1896</v>
      </c>
      <c r="D1317" s="84">
        <f t="shared" si="1279"/>
        <v>1128</v>
      </c>
      <c r="E1317" s="45">
        <f t="shared" si="1280"/>
        <v>6</v>
      </c>
      <c r="F1317" s="45">
        <f t="shared" ref="F1317" si="1318">(Z1318-Z1317)*1</f>
        <v>124</v>
      </c>
      <c r="G1317" s="79">
        <f t="shared" ref="G1317" si="1319">C1317+D1317+F1317+E1317</f>
        <v>3154</v>
      </c>
      <c r="H1317" s="199">
        <v>2511</v>
      </c>
      <c r="I1317" s="199">
        <v>763</v>
      </c>
      <c r="J1317" s="200">
        <f t="shared" si="1243"/>
        <v>3274</v>
      </c>
      <c r="K1317" s="201">
        <f t="shared" si="1244"/>
        <v>120</v>
      </c>
      <c r="L1317" s="276">
        <v>230</v>
      </c>
      <c r="M1317" s="249">
        <v>0.48958333333333331</v>
      </c>
      <c r="N1317" s="235">
        <v>208597</v>
      </c>
      <c r="O1317" s="235">
        <v>106214</v>
      </c>
      <c r="P1317" s="235">
        <v>10765</v>
      </c>
      <c r="Q1317" s="235"/>
      <c r="R1317" s="235">
        <v>45195</v>
      </c>
      <c r="S1317" s="236">
        <v>9927.2999999999993</v>
      </c>
      <c r="T1317" s="236"/>
      <c r="U1317" s="236"/>
      <c r="V1317" s="235">
        <v>303595</v>
      </c>
      <c r="W1317" s="235">
        <v>127326</v>
      </c>
      <c r="X1317" s="235">
        <v>109092</v>
      </c>
      <c r="Y1317" s="235">
        <v>92778</v>
      </c>
      <c r="Z1317" s="235">
        <v>207001</v>
      </c>
    </row>
    <row r="1318" spans="1:26" ht="18" hidden="1" customHeight="1" x14ac:dyDescent="0.2">
      <c r="A1318" s="47">
        <f t="shared" si="1183"/>
        <v>44169</v>
      </c>
      <c r="B1318" s="47" t="str">
        <f t="shared" si="1283"/>
        <v>五</v>
      </c>
      <c r="C1318" s="48">
        <f t="shared" ref="C1318:C1320" si="1320">(V1319-V1318)*1+(W1319-W1318)*32+(X1319-X1318)*12+(Y1319-Y1318)*6</f>
        <v>0</v>
      </c>
      <c r="D1318" s="84">
        <f t="shared" si="1279"/>
        <v>0</v>
      </c>
      <c r="E1318" s="45">
        <f t="shared" si="1280"/>
        <v>0</v>
      </c>
      <c r="F1318" s="45">
        <f t="shared" ref="F1318:F1320" si="1321">(Z1319-Z1318)*1</f>
        <v>0</v>
      </c>
      <c r="G1318" s="79">
        <f t="shared" ref="G1318:G1320" si="1322">C1318+D1318+F1318+E1318</f>
        <v>0</v>
      </c>
      <c r="H1318" s="199">
        <v>2705</v>
      </c>
      <c r="I1318" s="199">
        <v>728</v>
      </c>
      <c r="J1318" s="200">
        <f t="shared" si="1243"/>
        <v>3433</v>
      </c>
      <c r="K1318" s="201">
        <f t="shared" si="1244"/>
        <v>3433</v>
      </c>
      <c r="L1318" s="276">
        <v>243</v>
      </c>
      <c r="M1318" s="249">
        <v>0.47916666666666669</v>
      </c>
      <c r="N1318" s="235">
        <v>208727</v>
      </c>
      <c r="O1318" s="235">
        <v>106263</v>
      </c>
      <c r="P1318" s="235">
        <v>10776</v>
      </c>
      <c r="Q1318" s="235"/>
      <c r="R1318" s="235">
        <v>45201</v>
      </c>
      <c r="S1318" s="236">
        <v>9927.2999999999993</v>
      </c>
      <c r="T1318" s="236"/>
      <c r="U1318" s="236"/>
      <c r="V1318" s="235">
        <v>303747</v>
      </c>
      <c r="W1318" s="235">
        <v>127358</v>
      </c>
      <c r="X1318" s="235">
        <v>109152</v>
      </c>
      <c r="Y1318" s="235">
        <v>92778</v>
      </c>
      <c r="Z1318" s="235">
        <v>207125</v>
      </c>
    </row>
    <row r="1319" spans="1:26" ht="18" hidden="1" customHeight="1" x14ac:dyDescent="0.2">
      <c r="A1319" s="47">
        <f t="shared" si="1183"/>
        <v>44170</v>
      </c>
      <c r="B1319" s="47" t="str">
        <f t="shared" si="1283"/>
        <v>六</v>
      </c>
      <c r="C1319" s="48">
        <f t="shared" si="1320"/>
        <v>0</v>
      </c>
      <c r="D1319" s="84">
        <f t="shared" si="1279"/>
        <v>0</v>
      </c>
      <c r="E1319" s="45">
        <f t="shared" si="1280"/>
        <v>0</v>
      </c>
      <c r="F1319" s="45">
        <f t="shared" si="1321"/>
        <v>0</v>
      </c>
      <c r="G1319" s="79">
        <f t="shared" si="1322"/>
        <v>0</v>
      </c>
      <c r="H1319" s="199">
        <v>0</v>
      </c>
      <c r="I1319" s="199">
        <f>1082+690</f>
        <v>1772</v>
      </c>
      <c r="J1319" s="200">
        <f t="shared" ref="J1319:J1346" si="1323">H1319+I1319</f>
        <v>1772</v>
      </c>
      <c r="K1319" s="201">
        <f t="shared" ref="K1319:K1346" si="1324">J1319-G1319</f>
        <v>1772</v>
      </c>
      <c r="L1319" s="276">
        <v>85</v>
      </c>
      <c r="M1319" s="249">
        <v>8.3333333333333329E-2</v>
      </c>
      <c r="N1319" s="153">
        <v>208727</v>
      </c>
      <c r="O1319" s="153">
        <v>106263</v>
      </c>
      <c r="P1319" s="153">
        <v>10776</v>
      </c>
      <c r="Q1319" s="153"/>
      <c r="R1319" s="153">
        <v>45201</v>
      </c>
      <c r="S1319" s="154">
        <v>9927.2999999999993</v>
      </c>
      <c r="T1319" s="154"/>
      <c r="U1319" s="154"/>
      <c r="V1319" s="153">
        <v>303747</v>
      </c>
      <c r="W1319" s="153">
        <v>127358</v>
      </c>
      <c r="X1319" s="153">
        <v>109152</v>
      </c>
      <c r="Y1319" s="153">
        <v>92778</v>
      </c>
      <c r="Z1319" s="153">
        <v>207125</v>
      </c>
    </row>
    <row r="1320" spans="1:26" ht="18" hidden="1" customHeight="1" x14ac:dyDescent="0.2">
      <c r="A1320" s="47">
        <f t="shared" ref="A1320:A1383" si="1325">A1319+1</f>
        <v>44171</v>
      </c>
      <c r="B1320" s="47" t="str">
        <f t="shared" si="1283"/>
        <v>日</v>
      </c>
      <c r="C1320" s="48">
        <f t="shared" si="1320"/>
        <v>2687</v>
      </c>
      <c r="D1320" s="84">
        <f t="shared" si="1279"/>
        <v>2280</v>
      </c>
      <c r="E1320" s="45">
        <f t="shared" si="1280"/>
        <v>36</v>
      </c>
      <c r="F1320" s="45">
        <f t="shared" si="1321"/>
        <v>253</v>
      </c>
      <c r="G1320" s="79">
        <f t="shared" si="1322"/>
        <v>5256</v>
      </c>
      <c r="H1320" s="199">
        <v>0</v>
      </c>
      <c r="I1320" s="199">
        <v>884</v>
      </c>
      <c r="J1320" s="200">
        <f t="shared" si="1323"/>
        <v>884</v>
      </c>
      <c r="K1320" s="201">
        <f t="shared" si="1324"/>
        <v>-4372</v>
      </c>
      <c r="L1320" s="276">
        <v>70</v>
      </c>
      <c r="M1320" s="249">
        <v>1.0416666666666666E-2</v>
      </c>
      <c r="N1320" s="153">
        <v>208727</v>
      </c>
      <c r="O1320" s="153">
        <v>106263</v>
      </c>
      <c r="P1320" s="153">
        <v>10776</v>
      </c>
      <c r="Q1320" s="153"/>
      <c r="R1320" s="153">
        <v>45201</v>
      </c>
      <c r="S1320" s="154">
        <v>9927.2999999999993</v>
      </c>
      <c r="T1320" s="154"/>
      <c r="U1320" s="154"/>
      <c r="V1320" s="153">
        <v>303747</v>
      </c>
      <c r="W1320" s="153">
        <v>127358</v>
      </c>
      <c r="X1320" s="153">
        <v>109152</v>
      </c>
      <c r="Y1320" s="153">
        <v>92778</v>
      </c>
      <c r="Z1320" s="153">
        <v>207125</v>
      </c>
    </row>
    <row r="1321" spans="1:26" ht="18" hidden="1" customHeight="1" x14ac:dyDescent="0.2">
      <c r="A1321" s="47">
        <f t="shared" si="1325"/>
        <v>44172</v>
      </c>
      <c r="B1321" s="47" t="str">
        <f t="shared" si="1283"/>
        <v>一</v>
      </c>
      <c r="C1321" s="48">
        <f t="shared" ref="C1321" si="1326">(V1322-V1321)*1+(W1322-W1321)*32+(X1322-X1321)*12+(Y1322-Y1321)*6</f>
        <v>2021</v>
      </c>
      <c r="D1321" s="84">
        <f t="shared" si="1279"/>
        <v>1080</v>
      </c>
      <c r="E1321" s="45">
        <f t="shared" si="1280"/>
        <v>15</v>
      </c>
      <c r="F1321" s="45">
        <f t="shared" ref="F1321" si="1327">(Z1322-Z1321)*1</f>
        <v>129</v>
      </c>
      <c r="G1321" s="79">
        <f t="shared" ref="G1321" si="1328">C1321+D1321+F1321+E1321</f>
        <v>3245</v>
      </c>
      <c r="H1321" s="199">
        <v>2592</v>
      </c>
      <c r="I1321" s="199">
        <v>393</v>
      </c>
      <c r="J1321" s="200">
        <f t="shared" si="1323"/>
        <v>2985</v>
      </c>
      <c r="K1321" s="201">
        <f t="shared" si="1324"/>
        <v>-260</v>
      </c>
      <c r="L1321" s="276">
        <v>263</v>
      </c>
      <c r="M1321" s="249">
        <v>0.44791666666666669</v>
      </c>
      <c r="N1321" s="235">
        <v>208987</v>
      </c>
      <c r="O1321" s="235">
        <v>106358</v>
      </c>
      <c r="P1321" s="235">
        <v>10801</v>
      </c>
      <c r="Q1321" s="235"/>
      <c r="R1321" s="235">
        <v>45237</v>
      </c>
      <c r="S1321" s="236">
        <v>9927.2999999999993</v>
      </c>
      <c r="T1321" s="236"/>
      <c r="U1321" s="236"/>
      <c r="V1321" s="235">
        <v>304146</v>
      </c>
      <c r="W1321" s="235">
        <v>127404</v>
      </c>
      <c r="X1321" s="235">
        <v>109220</v>
      </c>
      <c r="Y1321" s="235">
        <v>92778</v>
      </c>
      <c r="Z1321" s="235">
        <v>207378</v>
      </c>
    </row>
    <row r="1322" spans="1:26" ht="18" hidden="1" customHeight="1" x14ac:dyDescent="0.2">
      <c r="A1322" s="47">
        <f t="shared" si="1325"/>
        <v>44173</v>
      </c>
      <c r="B1322" s="47" t="str">
        <f t="shared" si="1283"/>
        <v>二</v>
      </c>
      <c r="C1322" s="48">
        <f t="shared" ref="C1322" si="1329">(V1323-V1322)*1+(W1323-W1322)*32+(X1323-X1322)*12+(Y1323-Y1322)*6</f>
        <v>1828</v>
      </c>
      <c r="D1322" s="84">
        <f t="shared" si="1279"/>
        <v>1088</v>
      </c>
      <c r="E1322" s="45">
        <f t="shared" si="1280"/>
        <v>15</v>
      </c>
      <c r="F1322" s="45">
        <f t="shared" ref="F1322" si="1330">(Z1323-Z1322)*1</f>
        <v>116</v>
      </c>
      <c r="G1322" s="79">
        <f t="shared" ref="G1322" si="1331">C1322+D1322+F1322+E1322</f>
        <v>3047</v>
      </c>
      <c r="H1322" s="199">
        <v>2468</v>
      </c>
      <c r="I1322" s="199">
        <v>678</v>
      </c>
      <c r="J1322" s="200">
        <f t="shared" si="1323"/>
        <v>3146</v>
      </c>
      <c r="K1322" s="201">
        <f t="shared" si="1324"/>
        <v>99</v>
      </c>
      <c r="L1322" s="276">
        <v>241</v>
      </c>
      <c r="M1322" s="249">
        <v>0.45833333333333331</v>
      </c>
      <c r="N1322" s="235">
        <v>209107</v>
      </c>
      <c r="O1322" s="235">
        <v>106403</v>
      </c>
      <c r="P1322" s="235">
        <v>10816</v>
      </c>
      <c r="Q1322" s="235"/>
      <c r="R1322" s="235">
        <v>45252</v>
      </c>
      <c r="S1322" s="236">
        <v>9927.2999999999993</v>
      </c>
      <c r="T1322" s="236"/>
      <c r="U1322" s="236"/>
      <c r="V1322" s="235">
        <v>304307</v>
      </c>
      <c r="W1322" s="235">
        <v>127434</v>
      </c>
      <c r="X1322" s="235">
        <v>109295</v>
      </c>
      <c r="Y1322" s="235">
        <v>92778</v>
      </c>
      <c r="Z1322" s="235">
        <v>207507</v>
      </c>
    </row>
    <row r="1323" spans="1:26" ht="18" hidden="1" customHeight="1" x14ac:dyDescent="0.2">
      <c r="A1323" s="47">
        <f t="shared" si="1325"/>
        <v>44174</v>
      </c>
      <c r="B1323" s="47" t="str">
        <f t="shared" si="1283"/>
        <v>三</v>
      </c>
      <c r="C1323" s="48">
        <f t="shared" ref="C1323" si="1332">(V1324-V1323)*1+(W1324-W1323)*32+(X1324-X1323)*12+(Y1324-Y1323)*6</f>
        <v>2038</v>
      </c>
      <c r="D1323" s="84">
        <f t="shared" si="1279"/>
        <v>1160</v>
      </c>
      <c r="E1323" s="45">
        <f t="shared" si="1280"/>
        <v>-11.999999999869033</v>
      </c>
      <c r="F1323" s="45">
        <f t="shared" ref="F1323" si="1333">(Z1324-Z1323)*1</f>
        <v>125</v>
      </c>
      <c r="G1323" s="79">
        <f t="shared" ref="G1323" si="1334">C1323+D1323+F1323+E1323</f>
        <v>3311.000000000131</v>
      </c>
      <c r="H1323" s="199">
        <v>2643</v>
      </c>
      <c r="I1323" s="199">
        <v>744</v>
      </c>
      <c r="J1323" s="200">
        <f t="shared" si="1323"/>
        <v>3387</v>
      </c>
      <c r="K1323" s="201">
        <f t="shared" si="1324"/>
        <v>75.999999999869033</v>
      </c>
      <c r="L1323" s="276">
        <v>245</v>
      </c>
      <c r="M1323" s="249">
        <v>0.46875</v>
      </c>
      <c r="N1323" s="235">
        <v>209227</v>
      </c>
      <c r="O1323" s="235">
        <v>106448</v>
      </c>
      <c r="P1323" s="235">
        <v>10832</v>
      </c>
      <c r="Q1323" s="235"/>
      <c r="R1323" s="235">
        <v>45267</v>
      </c>
      <c r="S1323" s="236">
        <v>9927.2999999999993</v>
      </c>
      <c r="T1323" s="236"/>
      <c r="U1323" s="236"/>
      <c r="V1323" s="235">
        <v>304459</v>
      </c>
      <c r="W1323" s="235">
        <v>127462</v>
      </c>
      <c r="X1323" s="235">
        <v>109360</v>
      </c>
      <c r="Y1323" s="235">
        <v>92778</v>
      </c>
      <c r="Z1323" s="235">
        <v>207623</v>
      </c>
    </row>
    <row r="1324" spans="1:26" ht="18" hidden="1" customHeight="1" x14ac:dyDescent="0.2">
      <c r="A1324" s="47">
        <f t="shared" si="1325"/>
        <v>44175</v>
      </c>
      <c r="B1324" s="47" t="str">
        <f t="shared" si="1283"/>
        <v>四</v>
      </c>
      <c r="C1324" s="48">
        <f t="shared" ref="C1324" si="1335">(V1325-V1324)*1+(W1325-W1324)*32+(X1325-X1324)*12+(Y1325-Y1324)*6</f>
        <v>2020</v>
      </c>
      <c r="D1324" s="84">
        <f t="shared" si="1279"/>
        <v>1160</v>
      </c>
      <c r="E1324" s="45">
        <f t="shared" si="1280"/>
        <v>38.999999999869033</v>
      </c>
      <c r="F1324" s="45">
        <f t="shared" ref="F1324" si="1336">(Z1325-Z1324)*1</f>
        <v>128</v>
      </c>
      <c r="G1324" s="79">
        <f t="shared" ref="G1324" si="1337">C1324+D1324+F1324+E1324</f>
        <v>3346.999999999869</v>
      </c>
      <c r="H1324" s="199">
        <v>2680</v>
      </c>
      <c r="I1324" s="199">
        <v>750</v>
      </c>
      <c r="J1324" s="200">
        <f t="shared" si="1323"/>
        <v>3430</v>
      </c>
      <c r="K1324" s="201">
        <f t="shared" si="1324"/>
        <v>83.000000000130967</v>
      </c>
      <c r="L1324" s="276">
        <v>252</v>
      </c>
      <c r="M1324" s="249">
        <v>0.45833333333333331</v>
      </c>
      <c r="N1324" s="235">
        <v>209357</v>
      </c>
      <c r="O1324" s="235">
        <v>106501</v>
      </c>
      <c r="P1324" s="235">
        <v>10847</v>
      </c>
      <c r="Q1324" s="235"/>
      <c r="R1324" s="235">
        <v>45279</v>
      </c>
      <c r="S1324" s="236">
        <v>9927.1</v>
      </c>
      <c r="T1324" s="236"/>
      <c r="U1324" s="236"/>
      <c r="V1324" s="235">
        <v>304637</v>
      </c>
      <c r="W1324" s="235">
        <v>127492</v>
      </c>
      <c r="X1324" s="235">
        <v>109435</v>
      </c>
      <c r="Y1324" s="235">
        <v>92778</v>
      </c>
      <c r="Z1324" s="235">
        <v>207748</v>
      </c>
    </row>
    <row r="1325" spans="1:26" ht="18" hidden="1" customHeight="1" x14ac:dyDescent="0.2">
      <c r="A1325" s="47">
        <f t="shared" si="1325"/>
        <v>44176</v>
      </c>
      <c r="B1325" s="47" t="str">
        <f t="shared" si="1283"/>
        <v>五</v>
      </c>
      <c r="C1325" s="48">
        <f t="shared" ref="C1325:C1327" si="1338">(V1326-V1325)*1+(W1326-W1325)*32+(X1326-X1325)*12+(Y1326-Y1325)*6</f>
        <v>0</v>
      </c>
      <c r="D1325" s="84">
        <f t="shared" si="1279"/>
        <v>0</v>
      </c>
      <c r="E1325" s="45">
        <f t="shared" si="1280"/>
        <v>0</v>
      </c>
      <c r="F1325" s="45">
        <f t="shared" ref="F1325:F1327" si="1339">(Z1326-Z1325)*1</f>
        <v>0</v>
      </c>
      <c r="G1325" s="79">
        <f t="shared" ref="G1325:G1327" si="1340">C1325+D1325+F1325+E1325</f>
        <v>0</v>
      </c>
      <c r="H1325" s="199">
        <v>2559</v>
      </c>
      <c r="I1325" s="199">
        <v>737</v>
      </c>
      <c r="J1325" s="200">
        <f t="shared" si="1323"/>
        <v>3296</v>
      </c>
      <c r="K1325" s="201">
        <f t="shared" si="1324"/>
        <v>3296</v>
      </c>
      <c r="L1325" s="276">
        <v>253</v>
      </c>
      <c r="M1325" s="249">
        <v>0.44791666666666669</v>
      </c>
      <c r="N1325" s="235">
        <v>209487</v>
      </c>
      <c r="O1325" s="235">
        <v>106548</v>
      </c>
      <c r="P1325" s="235">
        <v>10862</v>
      </c>
      <c r="Q1325" s="235"/>
      <c r="R1325" s="235">
        <v>45294</v>
      </c>
      <c r="S1325" s="236">
        <v>9927.2999999999993</v>
      </c>
      <c r="T1325" s="236"/>
      <c r="U1325" s="236"/>
      <c r="V1325" s="235">
        <v>304805</v>
      </c>
      <c r="W1325" s="235">
        <v>127524</v>
      </c>
      <c r="X1325" s="235">
        <v>109504</v>
      </c>
      <c r="Y1325" s="235">
        <v>92778</v>
      </c>
      <c r="Z1325" s="235">
        <v>207876</v>
      </c>
    </row>
    <row r="1326" spans="1:26" ht="18" hidden="1" customHeight="1" x14ac:dyDescent="0.2">
      <c r="A1326" s="47">
        <f t="shared" si="1325"/>
        <v>44177</v>
      </c>
      <c r="B1326" s="47" t="str">
        <f t="shared" si="1283"/>
        <v>六</v>
      </c>
      <c r="C1326" s="48">
        <f t="shared" si="1338"/>
        <v>0</v>
      </c>
      <c r="D1326" s="84">
        <f t="shared" si="1279"/>
        <v>0</v>
      </c>
      <c r="E1326" s="45">
        <f t="shared" si="1280"/>
        <v>0</v>
      </c>
      <c r="F1326" s="45">
        <f t="shared" si="1339"/>
        <v>0</v>
      </c>
      <c r="G1326" s="79">
        <f t="shared" si="1340"/>
        <v>0</v>
      </c>
      <c r="H1326" s="199">
        <v>0</v>
      </c>
      <c r="I1326" s="199">
        <f>1812+680</f>
        <v>2492</v>
      </c>
      <c r="J1326" s="200">
        <f t="shared" si="1323"/>
        <v>2492</v>
      </c>
      <c r="K1326" s="201">
        <f t="shared" si="1324"/>
        <v>2492</v>
      </c>
      <c r="L1326" s="276">
        <v>182</v>
      </c>
      <c r="M1326" s="249">
        <v>0.48958333333333331</v>
      </c>
      <c r="N1326" s="153">
        <v>209487</v>
      </c>
      <c r="O1326" s="153">
        <v>106548</v>
      </c>
      <c r="P1326" s="153">
        <v>10862</v>
      </c>
      <c r="Q1326" s="153"/>
      <c r="R1326" s="153">
        <v>45294</v>
      </c>
      <c r="S1326" s="154">
        <v>9927.2999999999993</v>
      </c>
      <c r="T1326" s="154"/>
      <c r="U1326" s="154"/>
      <c r="V1326" s="153">
        <v>304805</v>
      </c>
      <c r="W1326" s="153">
        <v>127524</v>
      </c>
      <c r="X1326" s="153">
        <v>109504</v>
      </c>
      <c r="Y1326" s="153">
        <v>92778</v>
      </c>
      <c r="Z1326" s="153">
        <v>207876</v>
      </c>
    </row>
    <row r="1327" spans="1:26" ht="18" hidden="1" customHeight="1" x14ac:dyDescent="0.2">
      <c r="A1327" s="47">
        <f t="shared" si="1325"/>
        <v>44178</v>
      </c>
      <c r="B1327" s="47" t="str">
        <f t="shared" si="1283"/>
        <v>日</v>
      </c>
      <c r="C1327" s="48">
        <f t="shared" si="1338"/>
        <v>3823</v>
      </c>
      <c r="D1327" s="84">
        <f t="shared" si="1279"/>
        <v>3160</v>
      </c>
      <c r="E1327" s="45">
        <f t="shared" si="1280"/>
        <v>32</v>
      </c>
      <c r="F1327" s="45">
        <f t="shared" si="1339"/>
        <v>219</v>
      </c>
      <c r="G1327" s="79">
        <f t="shared" si="1340"/>
        <v>7234</v>
      </c>
      <c r="H1327" s="199">
        <v>0</v>
      </c>
      <c r="I1327" s="199">
        <v>1706</v>
      </c>
      <c r="J1327" s="200">
        <f t="shared" si="1323"/>
        <v>1706</v>
      </c>
      <c r="K1327" s="201">
        <f t="shared" si="1324"/>
        <v>-5528</v>
      </c>
      <c r="L1327" s="276">
        <v>80</v>
      </c>
      <c r="M1327" s="276" t="s">
        <v>196</v>
      </c>
      <c r="N1327" s="153">
        <v>209487</v>
      </c>
      <c r="O1327" s="153">
        <v>106548</v>
      </c>
      <c r="P1327" s="153">
        <v>10862</v>
      </c>
      <c r="Q1327" s="153"/>
      <c r="R1327" s="153">
        <v>45294</v>
      </c>
      <c r="S1327" s="154">
        <v>9927.2999999999993</v>
      </c>
      <c r="T1327" s="154"/>
      <c r="U1327" s="154"/>
      <c r="V1327" s="153">
        <v>304805</v>
      </c>
      <c r="W1327" s="153">
        <v>127524</v>
      </c>
      <c r="X1327" s="153">
        <v>109504</v>
      </c>
      <c r="Y1327" s="153">
        <v>92778</v>
      </c>
      <c r="Z1327" s="153">
        <v>207876</v>
      </c>
    </row>
    <row r="1328" spans="1:26" ht="18" hidden="1" customHeight="1" x14ac:dyDescent="0.2">
      <c r="A1328" s="47">
        <f t="shared" si="1325"/>
        <v>44179</v>
      </c>
      <c r="B1328" s="47" t="str">
        <f t="shared" si="1283"/>
        <v>一</v>
      </c>
      <c r="C1328" s="48">
        <f t="shared" ref="C1328" si="1341">(V1329-V1328)*1+(W1329-W1328)*32+(X1329-X1328)*12+(Y1329-Y1328)*6</f>
        <v>1880</v>
      </c>
      <c r="D1328" s="84">
        <f t="shared" si="1279"/>
        <v>1192</v>
      </c>
      <c r="E1328" s="45">
        <f t="shared" si="1280"/>
        <v>13</v>
      </c>
      <c r="F1328" s="45">
        <f t="shared" ref="F1328" si="1342">(Z1329-Z1328)*1</f>
        <v>157</v>
      </c>
      <c r="G1328" s="79">
        <f t="shared" ref="G1328" si="1343">C1328+D1328+F1328+E1328</f>
        <v>3242</v>
      </c>
      <c r="H1328" s="199">
        <v>2565</v>
      </c>
      <c r="I1328" s="199">
        <v>697</v>
      </c>
      <c r="J1328" s="200">
        <f t="shared" si="1323"/>
        <v>3262</v>
      </c>
      <c r="K1328" s="201">
        <f t="shared" si="1324"/>
        <v>20</v>
      </c>
      <c r="L1328" s="276">
        <v>245</v>
      </c>
      <c r="M1328" s="249">
        <v>0.48958333333333331</v>
      </c>
      <c r="N1328" s="235">
        <v>209847</v>
      </c>
      <c r="O1328" s="235">
        <v>106684</v>
      </c>
      <c r="P1328" s="235">
        <v>10897</v>
      </c>
      <c r="Q1328" s="235"/>
      <c r="R1328" s="235">
        <v>45326</v>
      </c>
      <c r="S1328" s="236">
        <v>9927.2999999999993</v>
      </c>
      <c r="T1328" s="236"/>
      <c r="U1328" s="236"/>
      <c r="V1328" s="235">
        <v>305248</v>
      </c>
      <c r="W1328" s="235">
        <v>127585</v>
      </c>
      <c r="X1328" s="235">
        <v>109623</v>
      </c>
      <c r="Y1328" s="235">
        <v>92778</v>
      </c>
      <c r="Z1328" s="235">
        <v>208095</v>
      </c>
    </row>
    <row r="1329" spans="1:26" ht="18" hidden="1" customHeight="1" x14ac:dyDescent="0.2">
      <c r="A1329" s="47">
        <f t="shared" si="1325"/>
        <v>44180</v>
      </c>
      <c r="B1329" s="47" t="str">
        <f t="shared" si="1283"/>
        <v>二</v>
      </c>
      <c r="C1329" s="48">
        <f t="shared" ref="C1329" si="1344">(V1330-V1329)*1+(W1330-W1329)*32+(X1330-X1329)*12+(Y1330-Y1329)*6</f>
        <v>1794</v>
      </c>
      <c r="D1329" s="84">
        <f t="shared" si="1279"/>
        <v>1200</v>
      </c>
      <c r="E1329" s="45">
        <f t="shared" si="1280"/>
        <v>12</v>
      </c>
      <c r="F1329" s="45">
        <f t="shared" ref="F1329" si="1345">(Z1330-Z1329)*1</f>
        <v>220</v>
      </c>
      <c r="G1329" s="79">
        <f t="shared" ref="G1329" si="1346">C1329+D1329+F1329+E1329</f>
        <v>3226</v>
      </c>
      <c r="H1329" s="199">
        <v>2367</v>
      </c>
      <c r="I1329" s="199">
        <v>779</v>
      </c>
      <c r="J1329" s="200">
        <f t="shared" si="1323"/>
        <v>3146</v>
      </c>
      <c r="K1329" s="201">
        <f t="shared" si="1324"/>
        <v>-80</v>
      </c>
      <c r="L1329" s="276">
        <v>220</v>
      </c>
      <c r="M1329" s="249">
        <v>0.47916666666666669</v>
      </c>
      <c r="N1329" s="235">
        <v>209977</v>
      </c>
      <c r="O1329" s="235">
        <v>106737</v>
      </c>
      <c r="P1329" s="235">
        <v>10916</v>
      </c>
      <c r="Q1329" s="235"/>
      <c r="R1329" s="235">
        <v>45339</v>
      </c>
      <c r="S1329" s="236">
        <v>9927.2999999999993</v>
      </c>
      <c r="T1329" s="236"/>
      <c r="U1329" s="236"/>
      <c r="V1329" s="235">
        <v>305408</v>
      </c>
      <c r="W1329" s="235">
        <v>127614</v>
      </c>
      <c r="X1329" s="235">
        <v>109689</v>
      </c>
      <c r="Y1329" s="235">
        <v>92778</v>
      </c>
      <c r="Z1329" s="235">
        <v>208252</v>
      </c>
    </row>
    <row r="1330" spans="1:26" ht="18" hidden="1" customHeight="1" x14ac:dyDescent="0.2">
      <c r="A1330" s="47">
        <f t="shared" si="1325"/>
        <v>44181</v>
      </c>
      <c r="B1330" s="47" t="str">
        <f t="shared" si="1283"/>
        <v>三</v>
      </c>
      <c r="C1330" s="48">
        <f t="shared" ref="C1330" si="1347">(V1331-V1330)*1+(W1331-W1330)*32+(X1331-X1330)*12+(Y1331-Y1330)*6</f>
        <v>1453</v>
      </c>
      <c r="D1330" s="84">
        <f t="shared" si="1279"/>
        <v>2024</v>
      </c>
      <c r="E1330" s="45">
        <f t="shared" si="1280"/>
        <v>0</v>
      </c>
      <c r="F1330" s="45">
        <f t="shared" ref="F1330" si="1348">(Z1331-Z1330)*1</f>
        <v>131</v>
      </c>
      <c r="G1330" s="79">
        <f t="shared" ref="G1330" si="1349">C1330+D1330+F1330+E1330</f>
        <v>3608</v>
      </c>
      <c r="H1330" s="199">
        <v>2555</v>
      </c>
      <c r="I1330" s="199">
        <v>800</v>
      </c>
      <c r="J1330" s="200">
        <f t="shared" si="1323"/>
        <v>3355</v>
      </c>
      <c r="K1330" s="201">
        <f t="shared" si="1324"/>
        <v>-253</v>
      </c>
      <c r="L1330" s="276">
        <v>250</v>
      </c>
      <c r="M1330" s="249">
        <v>0.48958333333333331</v>
      </c>
      <c r="N1330" s="235">
        <v>210117</v>
      </c>
      <c r="O1330" s="235">
        <v>106790</v>
      </c>
      <c r="P1330" s="235">
        <v>10926</v>
      </c>
      <c r="Q1330" s="235"/>
      <c r="R1330" s="235">
        <v>45351</v>
      </c>
      <c r="S1330" s="236">
        <v>9927.2999999999993</v>
      </c>
      <c r="T1330" s="236"/>
      <c r="U1330" s="236"/>
      <c r="V1330" s="235">
        <v>305554</v>
      </c>
      <c r="W1330" s="235">
        <v>127640</v>
      </c>
      <c r="X1330" s="235">
        <v>109757</v>
      </c>
      <c r="Y1330" s="235">
        <v>92778</v>
      </c>
      <c r="Z1330" s="235">
        <v>208472</v>
      </c>
    </row>
    <row r="1331" spans="1:26" ht="18" hidden="1" customHeight="1" x14ac:dyDescent="0.2">
      <c r="A1331" s="47">
        <f t="shared" si="1325"/>
        <v>44182</v>
      </c>
      <c r="B1331" s="47" t="str">
        <f t="shared" si="1283"/>
        <v>四</v>
      </c>
      <c r="C1331" s="48">
        <f t="shared" ref="C1331" si="1350">(V1332-V1331)*1+(W1332-W1331)*32+(X1332-X1331)*12+(Y1332-Y1331)*6</f>
        <v>2082</v>
      </c>
      <c r="D1331" s="84">
        <f t="shared" si="1279"/>
        <v>1136</v>
      </c>
      <c r="E1331" s="45">
        <f t="shared" si="1280"/>
        <v>27</v>
      </c>
      <c r="F1331" s="45">
        <f t="shared" ref="F1331" si="1351">(Z1332-Z1331)*1</f>
        <v>128</v>
      </c>
      <c r="G1331" s="79">
        <f t="shared" ref="G1331" si="1352">C1331+D1331+F1331+E1331</f>
        <v>3373</v>
      </c>
      <c r="H1331" s="199">
        <v>2793</v>
      </c>
      <c r="I1331" s="199">
        <v>805</v>
      </c>
      <c r="J1331" s="200">
        <f t="shared" si="1323"/>
        <v>3598</v>
      </c>
      <c r="K1331" s="201">
        <f t="shared" si="1324"/>
        <v>225</v>
      </c>
      <c r="L1331" s="276">
        <v>243</v>
      </c>
      <c r="M1331" s="249">
        <v>0.60416666666666663</v>
      </c>
      <c r="N1331" s="235">
        <v>210357</v>
      </c>
      <c r="O1331" s="235">
        <v>106844</v>
      </c>
      <c r="P1331" s="235">
        <v>10939</v>
      </c>
      <c r="Q1331" s="235"/>
      <c r="R1331" s="235">
        <v>45351</v>
      </c>
      <c r="S1331" s="236">
        <v>9927.2999999999993</v>
      </c>
      <c r="T1331" s="236"/>
      <c r="U1331" s="236"/>
      <c r="V1331" s="235">
        <v>305719</v>
      </c>
      <c r="W1331" s="235">
        <v>127666</v>
      </c>
      <c r="X1331" s="235">
        <v>109795</v>
      </c>
      <c r="Y1331" s="235">
        <v>92778</v>
      </c>
      <c r="Z1331" s="235">
        <v>208603</v>
      </c>
    </row>
    <row r="1332" spans="1:26" ht="18" hidden="1" customHeight="1" x14ac:dyDescent="0.2">
      <c r="A1332" s="47">
        <f t="shared" si="1325"/>
        <v>44183</v>
      </c>
      <c r="B1332" s="47" t="str">
        <f t="shared" si="1283"/>
        <v>五</v>
      </c>
      <c r="C1332" s="48">
        <f t="shared" ref="C1332" si="1353">(V1333-V1332)*1+(W1333-W1332)*32+(X1333-X1332)*12+(Y1333-Y1332)*6</f>
        <v>0</v>
      </c>
      <c r="D1332" s="84">
        <f t="shared" si="1279"/>
        <v>0</v>
      </c>
      <c r="E1332" s="45">
        <f t="shared" si="1280"/>
        <v>0</v>
      </c>
      <c r="F1332" s="45">
        <f t="shared" ref="F1332" si="1354">(Z1333-Z1332)*1</f>
        <v>0</v>
      </c>
      <c r="G1332" s="79">
        <f t="shared" ref="G1332" si="1355">C1332+D1332+F1332+E1332</f>
        <v>0</v>
      </c>
      <c r="H1332" s="199">
        <v>2582</v>
      </c>
      <c r="I1332" s="199">
        <v>795</v>
      </c>
      <c r="J1332" s="200">
        <f t="shared" si="1323"/>
        <v>3377</v>
      </c>
      <c r="K1332" s="201">
        <f t="shared" si="1324"/>
        <v>3377</v>
      </c>
      <c r="L1332" s="276">
        <v>219</v>
      </c>
      <c r="M1332" s="249">
        <v>0.57291666666666663</v>
      </c>
      <c r="N1332" s="235">
        <v>210487</v>
      </c>
      <c r="O1332" s="235">
        <v>106894</v>
      </c>
      <c r="P1332" s="235">
        <v>10951</v>
      </c>
      <c r="Q1332" s="235"/>
      <c r="R1332" s="235">
        <v>45378</v>
      </c>
      <c r="S1332" s="236">
        <v>9927.2999999999993</v>
      </c>
      <c r="T1332" s="236"/>
      <c r="U1332" s="236"/>
      <c r="V1332" s="235">
        <v>305881</v>
      </c>
      <c r="W1332" s="235">
        <v>127696</v>
      </c>
      <c r="X1332" s="235">
        <v>109875</v>
      </c>
      <c r="Y1332" s="235">
        <v>92778</v>
      </c>
      <c r="Z1332" s="235">
        <v>208731</v>
      </c>
    </row>
    <row r="1333" spans="1:26" ht="18" hidden="1" customHeight="1" x14ac:dyDescent="0.2">
      <c r="A1333" s="47">
        <f t="shared" si="1325"/>
        <v>44184</v>
      </c>
      <c r="B1333" s="47" t="str">
        <f t="shared" si="1283"/>
        <v>六</v>
      </c>
      <c r="C1333" s="48">
        <f t="shared" ref="C1333:C1334" si="1356">(V1334-V1333)*1+(W1334-W1333)*32+(X1334-X1333)*12+(Y1334-Y1333)*6</f>
        <v>0</v>
      </c>
      <c r="D1333" s="84">
        <f t="shared" si="1279"/>
        <v>0</v>
      </c>
      <c r="E1333" s="45">
        <f t="shared" si="1280"/>
        <v>0</v>
      </c>
      <c r="F1333" s="45">
        <f t="shared" ref="F1333:F1334" si="1357">(Z1334-Z1333)*1</f>
        <v>0</v>
      </c>
      <c r="G1333" s="79">
        <f t="shared" ref="G1333:G1334" si="1358">C1333+D1333+F1333+E1333</f>
        <v>0</v>
      </c>
      <c r="H1333" s="199">
        <v>0</v>
      </c>
      <c r="I1333" s="199">
        <f>1311+681</f>
        <v>1992</v>
      </c>
      <c r="J1333" s="200">
        <f t="shared" si="1323"/>
        <v>1992</v>
      </c>
      <c r="K1333" s="201">
        <f t="shared" si="1324"/>
        <v>1992</v>
      </c>
      <c r="L1333" s="276">
        <v>99</v>
      </c>
      <c r="M1333" s="249">
        <v>0.375</v>
      </c>
      <c r="N1333" s="153">
        <v>210487</v>
      </c>
      <c r="O1333" s="153">
        <v>106894</v>
      </c>
      <c r="P1333" s="153">
        <v>10951</v>
      </c>
      <c r="Q1333" s="153"/>
      <c r="R1333" s="153">
        <v>45378</v>
      </c>
      <c r="S1333" s="154">
        <v>9927.2999999999993</v>
      </c>
      <c r="T1333" s="154"/>
      <c r="U1333" s="154"/>
      <c r="V1333" s="153">
        <v>305881</v>
      </c>
      <c r="W1333" s="153">
        <v>127696</v>
      </c>
      <c r="X1333" s="153">
        <v>109875</v>
      </c>
      <c r="Y1333" s="153">
        <v>92778</v>
      </c>
      <c r="Z1333" s="153">
        <v>208731</v>
      </c>
    </row>
    <row r="1334" spans="1:26" ht="18" hidden="1" customHeight="1" x14ac:dyDescent="0.2">
      <c r="A1334" s="47">
        <f t="shared" si="1325"/>
        <v>44185</v>
      </c>
      <c r="B1334" s="47" t="str">
        <f t="shared" si="1283"/>
        <v>日</v>
      </c>
      <c r="C1334" s="48">
        <f t="shared" si="1356"/>
        <v>3035</v>
      </c>
      <c r="D1334" s="84">
        <f t="shared" si="1279"/>
        <v>2408</v>
      </c>
      <c r="E1334" s="45">
        <f t="shared" si="1280"/>
        <v>36</v>
      </c>
      <c r="F1334" s="45">
        <f t="shared" si="1357"/>
        <v>420</v>
      </c>
      <c r="G1334" s="79">
        <f t="shared" si="1358"/>
        <v>5899</v>
      </c>
      <c r="H1334" s="199">
        <v>0</v>
      </c>
      <c r="I1334" s="199">
        <v>1658</v>
      </c>
      <c r="J1334" s="200">
        <f t="shared" si="1323"/>
        <v>1658</v>
      </c>
      <c r="K1334" s="201">
        <f t="shared" si="1324"/>
        <v>-4241</v>
      </c>
      <c r="L1334" s="276">
        <v>81</v>
      </c>
      <c r="M1334" s="249">
        <v>0.14583333333333334</v>
      </c>
      <c r="N1334" s="153">
        <v>210487</v>
      </c>
      <c r="O1334" s="153">
        <v>106894</v>
      </c>
      <c r="P1334" s="153">
        <v>10951</v>
      </c>
      <c r="Q1334" s="153"/>
      <c r="R1334" s="153">
        <v>45378</v>
      </c>
      <c r="S1334" s="154">
        <v>9927.2999999999993</v>
      </c>
      <c r="T1334" s="154"/>
      <c r="U1334" s="154"/>
      <c r="V1334" s="153">
        <v>305881</v>
      </c>
      <c r="W1334" s="153">
        <v>127696</v>
      </c>
      <c r="X1334" s="153">
        <v>109875</v>
      </c>
      <c r="Y1334" s="153">
        <v>92778</v>
      </c>
      <c r="Z1334" s="153">
        <v>208731</v>
      </c>
    </row>
    <row r="1335" spans="1:26" ht="18" hidden="1" customHeight="1" x14ac:dyDescent="0.2">
      <c r="A1335" s="47">
        <f t="shared" si="1325"/>
        <v>44186</v>
      </c>
      <c r="B1335" s="47" t="str">
        <f t="shared" si="1283"/>
        <v>一</v>
      </c>
      <c r="C1335" s="48">
        <f t="shared" ref="C1335" si="1359">(V1336-V1335)*1+(W1336-W1335)*32+(X1336-X1335)*12+(Y1336-Y1335)*6</f>
        <v>2031</v>
      </c>
      <c r="D1335" s="84">
        <f t="shared" si="1279"/>
        <v>1048</v>
      </c>
      <c r="E1335" s="45">
        <f t="shared" si="1280"/>
        <v>12</v>
      </c>
      <c r="F1335" s="45">
        <f t="shared" ref="F1335" si="1360">(Z1336-Z1335)*1</f>
        <v>136</v>
      </c>
      <c r="G1335" s="79">
        <f t="shared" ref="G1335" si="1361">C1335+D1335+F1335+E1335</f>
        <v>3227</v>
      </c>
      <c r="H1335" s="199">
        <v>2678</v>
      </c>
      <c r="I1335" s="199">
        <v>686</v>
      </c>
      <c r="J1335" s="200">
        <f t="shared" si="1323"/>
        <v>3364</v>
      </c>
      <c r="K1335" s="201">
        <f t="shared" si="1324"/>
        <v>137</v>
      </c>
      <c r="L1335" s="276">
        <v>226</v>
      </c>
      <c r="M1335" s="276" t="s">
        <v>197</v>
      </c>
      <c r="N1335" s="235">
        <v>210757</v>
      </c>
      <c r="O1335" s="235">
        <v>107035</v>
      </c>
      <c r="P1335" s="235">
        <v>10982</v>
      </c>
      <c r="Q1335" s="235"/>
      <c r="R1335" s="235">
        <v>45414</v>
      </c>
      <c r="S1335" s="236">
        <v>9927.2999999999993</v>
      </c>
      <c r="T1335" s="236"/>
      <c r="U1335" s="236"/>
      <c r="V1335" s="235">
        <v>306312</v>
      </c>
      <c r="W1335" s="235">
        <v>127753</v>
      </c>
      <c r="X1335" s="235">
        <v>109940</v>
      </c>
      <c r="Y1335" s="235">
        <v>92778</v>
      </c>
      <c r="Z1335" s="235">
        <v>209151</v>
      </c>
    </row>
    <row r="1336" spans="1:26" ht="18" hidden="1" customHeight="1" x14ac:dyDescent="0.2">
      <c r="A1336" s="47">
        <f t="shared" si="1325"/>
        <v>44187</v>
      </c>
      <c r="B1336" s="47" t="str">
        <f t="shared" si="1283"/>
        <v>二</v>
      </c>
      <c r="C1336" s="48">
        <f t="shared" ref="C1336" si="1362">(V1337-V1336)*1+(W1337-W1336)*32+(X1337-X1336)*12+(Y1337-Y1336)*6</f>
        <v>1792</v>
      </c>
      <c r="D1336" s="84">
        <f t="shared" si="1279"/>
        <v>336</v>
      </c>
      <c r="E1336" s="45">
        <f t="shared" si="1280"/>
        <v>11</v>
      </c>
      <c r="F1336" s="45">
        <f t="shared" ref="F1336" si="1363">(Z1337-Z1336)*1</f>
        <v>106</v>
      </c>
      <c r="G1336" s="79">
        <f t="shared" ref="G1336" si="1364">C1336+D1336+F1336+E1336</f>
        <v>2245</v>
      </c>
      <c r="H1336" s="199">
        <v>2421</v>
      </c>
      <c r="I1336" s="199">
        <v>743</v>
      </c>
      <c r="J1336" s="200">
        <f t="shared" si="1323"/>
        <v>3164</v>
      </c>
      <c r="K1336" s="201">
        <f t="shared" si="1324"/>
        <v>919</v>
      </c>
      <c r="L1336" s="276">
        <v>241</v>
      </c>
      <c r="M1336" s="249">
        <v>0.47916666666666669</v>
      </c>
      <c r="N1336" s="235">
        <v>210877</v>
      </c>
      <c r="O1336" s="235">
        <v>107084</v>
      </c>
      <c r="P1336" s="235">
        <v>10993</v>
      </c>
      <c r="Q1336" s="235"/>
      <c r="R1336" s="235">
        <v>45426</v>
      </c>
      <c r="S1336" s="236">
        <v>9927.2999999999993</v>
      </c>
      <c r="T1336" s="236"/>
      <c r="U1336" s="236"/>
      <c r="V1336" s="235">
        <v>306479</v>
      </c>
      <c r="W1336" s="235">
        <v>127785</v>
      </c>
      <c r="X1336" s="235">
        <v>110010</v>
      </c>
      <c r="Y1336" s="235">
        <v>92778</v>
      </c>
      <c r="Z1336" s="235">
        <v>209287</v>
      </c>
    </row>
    <row r="1337" spans="1:26" ht="18" hidden="1" customHeight="1" x14ac:dyDescent="0.2">
      <c r="A1337" s="47">
        <f t="shared" si="1325"/>
        <v>44188</v>
      </c>
      <c r="B1337" s="47" t="str">
        <f t="shared" si="1283"/>
        <v>三</v>
      </c>
      <c r="C1337" s="48">
        <f t="shared" ref="C1337" si="1365">(V1338-V1337)*1+(W1338-W1337)*32+(X1338-X1337)*12+(Y1338-Y1337)*6</f>
        <v>2179</v>
      </c>
      <c r="D1337" s="84">
        <f t="shared" si="1279"/>
        <v>1832</v>
      </c>
      <c r="E1337" s="45">
        <f t="shared" si="1280"/>
        <v>12</v>
      </c>
      <c r="F1337" s="45">
        <f t="shared" ref="F1337" si="1366">(Z1338-Z1337)*1</f>
        <v>104</v>
      </c>
      <c r="G1337" s="79">
        <f t="shared" ref="G1337" si="1367">C1337+D1337+F1337+E1337</f>
        <v>4127</v>
      </c>
      <c r="H1337" s="199">
        <v>2679</v>
      </c>
      <c r="I1337" s="199">
        <v>729</v>
      </c>
      <c r="J1337" s="200">
        <f t="shared" si="1323"/>
        <v>3408</v>
      </c>
      <c r="K1337" s="201">
        <f t="shared" si="1324"/>
        <v>-719</v>
      </c>
      <c r="L1337" s="276">
        <v>244</v>
      </c>
      <c r="M1337" s="249">
        <v>0.48958333333333331</v>
      </c>
      <c r="N1337" s="235">
        <v>210907</v>
      </c>
      <c r="O1337" s="235">
        <v>107129</v>
      </c>
      <c r="P1337" s="235">
        <v>11005</v>
      </c>
      <c r="Q1337" s="235"/>
      <c r="R1337" s="235">
        <v>45437</v>
      </c>
      <c r="S1337" s="236">
        <v>9927.2999999999993</v>
      </c>
      <c r="T1337" s="236"/>
      <c r="U1337" s="236"/>
      <c r="V1337" s="235">
        <v>306643</v>
      </c>
      <c r="W1337" s="235">
        <v>127813</v>
      </c>
      <c r="X1337" s="203">
        <v>110071</v>
      </c>
      <c r="Y1337" s="235">
        <v>92778</v>
      </c>
      <c r="Z1337" s="235">
        <v>209393</v>
      </c>
    </row>
    <row r="1338" spans="1:26" ht="18" hidden="1" customHeight="1" x14ac:dyDescent="0.2">
      <c r="A1338" s="47">
        <f t="shared" si="1325"/>
        <v>44189</v>
      </c>
      <c r="B1338" s="47" t="str">
        <f t="shared" si="1283"/>
        <v>四</v>
      </c>
      <c r="C1338" s="48">
        <f t="shared" ref="C1338" si="1368">(V1339-V1338)*1+(W1339-W1338)*32+(X1339-X1338)*12+(Y1339-Y1338)*6</f>
        <v>1924</v>
      </c>
      <c r="D1338" s="84">
        <f t="shared" si="1279"/>
        <v>1152</v>
      </c>
      <c r="E1338" s="45">
        <f t="shared" si="1280"/>
        <v>12</v>
      </c>
      <c r="F1338" s="45">
        <f t="shared" ref="F1338" si="1369">(Z1339-Z1338)*1</f>
        <v>130</v>
      </c>
      <c r="G1338" s="79">
        <f t="shared" ref="G1338" si="1370">C1338+D1338+F1338+E1338</f>
        <v>3218</v>
      </c>
      <c r="H1338" s="199">
        <v>2724</v>
      </c>
      <c r="I1338" s="199">
        <v>722</v>
      </c>
      <c r="J1338" s="200">
        <f t="shared" si="1323"/>
        <v>3446</v>
      </c>
      <c r="K1338" s="201">
        <f t="shared" si="1324"/>
        <v>228</v>
      </c>
      <c r="L1338" s="276">
        <v>256</v>
      </c>
      <c r="M1338" s="249">
        <v>0.44791666666666669</v>
      </c>
      <c r="N1338" s="235">
        <v>211127</v>
      </c>
      <c r="O1338" s="235">
        <v>107178</v>
      </c>
      <c r="P1338" s="235">
        <v>11014</v>
      </c>
      <c r="Q1338" s="235"/>
      <c r="R1338" s="235">
        <v>45449</v>
      </c>
      <c r="S1338" s="236">
        <v>9927.2999999999993</v>
      </c>
      <c r="T1338" s="236"/>
      <c r="U1338" s="236"/>
      <c r="V1338" s="235">
        <v>306802</v>
      </c>
      <c r="W1338" s="235">
        <v>127845</v>
      </c>
      <c r="X1338" s="235">
        <v>110154</v>
      </c>
      <c r="Y1338" s="235">
        <v>92778</v>
      </c>
      <c r="Z1338" s="235">
        <v>209497</v>
      </c>
    </row>
    <row r="1339" spans="1:26" ht="18" hidden="1" customHeight="1" x14ac:dyDescent="0.2">
      <c r="A1339" s="47">
        <f t="shared" si="1325"/>
        <v>44190</v>
      </c>
      <c r="B1339" s="47" t="str">
        <f t="shared" si="1283"/>
        <v>五</v>
      </c>
      <c r="C1339" s="48">
        <f t="shared" ref="C1339:C1341" si="1371">(V1340-V1339)*1+(W1340-W1339)*32+(X1340-X1339)*12+(Y1340-Y1339)*6</f>
        <v>0</v>
      </c>
      <c r="D1339" s="84">
        <f t="shared" si="1279"/>
        <v>0</v>
      </c>
      <c r="E1339" s="45">
        <f t="shared" si="1280"/>
        <v>0</v>
      </c>
      <c r="F1339" s="45">
        <f t="shared" ref="F1339:F1341" si="1372">(Z1340-Z1339)*1</f>
        <v>0</v>
      </c>
      <c r="G1339" s="79">
        <f t="shared" ref="G1339:G1341" si="1373">C1339+D1339+F1339+E1339</f>
        <v>0</v>
      </c>
      <c r="H1339" s="199">
        <v>2624</v>
      </c>
      <c r="I1339" s="199">
        <v>718</v>
      </c>
      <c r="J1339" s="200">
        <f t="shared" si="1323"/>
        <v>3342</v>
      </c>
      <c r="K1339" s="201">
        <f t="shared" si="1324"/>
        <v>3342</v>
      </c>
      <c r="L1339" s="276">
        <v>245</v>
      </c>
      <c r="M1339" s="249">
        <v>0.48958333333333331</v>
      </c>
      <c r="N1339" s="235">
        <v>211257</v>
      </c>
      <c r="O1339" s="235">
        <v>107221</v>
      </c>
      <c r="P1339" s="235">
        <v>11028</v>
      </c>
      <c r="Q1339" s="235"/>
      <c r="R1339" s="235">
        <v>45461</v>
      </c>
      <c r="S1339" s="236">
        <v>9927.2999999999993</v>
      </c>
      <c r="T1339" s="236"/>
      <c r="U1339" s="236"/>
      <c r="V1339" s="235">
        <v>306962</v>
      </c>
      <c r="W1339" s="235">
        <v>127872</v>
      </c>
      <c r="X1339" s="235">
        <v>110229</v>
      </c>
      <c r="Y1339" s="235">
        <v>92778</v>
      </c>
      <c r="Z1339" s="235">
        <v>209627</v>
      </c>
    </row>
    <row r="1340" spans="1:26" ht="18" hidden="1" customHeight="1" x14ac:dyDescent="0.2">
      <c r="A1340" s="47">
        <f t="shared" si="1325"/>
        <v>44191</v>
      </c>
      <c r="B1340" s="47" t="str">
        <f t="shared" si="1283"/>
        <v>六</v>
      </c>
      <c r="C1340" s="48">
        <f t="shared" si="1371"/>
        <v>0</v>
      </c>
      <c r="D1340" s="84">
        <f t="shared" si="1279"/>
        <v>0</v>
      </c>
      <c r="E1340" s="45">
        <v>0</v>
      </c>
      <c r="F1340" s="45">
        <f t="shared" si="1372"/>
        <v>0</v>
      </c>
      <c r="G1340" s="79">
        <f t="shared" si="1373"/>
        <v>0</v>
      </c>
      <c r="H1340" s="199">
        <v>0</v>
      </c>
      <c r="I1340" s="199">
        <f>1108+726</f>
        <v>1834</v>
      </c>
      <c r="J1340" s="200">
        <f t="shared" si="1323"/>
        <v>1834</v>
      </c>
      <c r="K1340" s="201">
        <f t="shared" si="1324"/>
        <v>1834</v>
      </c>
      <c r="L1340" s="276">
        <v>90</v>
      </c>
      <c r="M1340" s="249">
        <v>0.40625</v>
      </c>
      <c r="N1340" s="153">
        <v>211257</v>
      </c>
      <c r="O1340" s="153">
        <v>107221</v>
      </c>
      <c r="P1340" s="153">
        <v>11028</v>
      </c>
      <c r="Q1340" s="153"/>
      <c r="R1340" s="153">
        <v>45461</v>
      </c>
      <c r="S1340" s="154">
        <v>9927.2999999999993</v>
      </c>
      <c r="T1340" s="154"/>
      <c r="U1340" s="154"/>
      <c r="V1340" s="153">
        <v>306962</v>
      </c>
      <c r="W1340" s="153">
        <v>127872</v>
      </c>
      <c r="X1340" s="153">
        <v>110229</v>
      </c>
      <c r="Y1340" s="153">
        <v>92778</v>
      </c>
      <c r="Z1340" s="153">
        <v>209627</v>
      </c>
    </row>
    <row r="1341" spans="1:26" ht="18" hidden="1" customHeight="1" x14ac:dyDescent="0.2">
      <c r="A1341" s="47">
        <f t="shared" si="1325"/>
        <v>44192</v>
      </c>
      <c r="B1341" s="47" t="str">
        <f t="shared" si="1283"/>
        <v>日</v>
      </c>
      <c r="C1341" s="48">
        <f t="shared" si="1371"/>
        <v>2884</v>
      </c>
      <c r="D1341" s="84">
        <f t="shared" ref="D1341:D1404" si="1374">(N1342-N1341)*8+(P1342-P1341)*8+(R1342-R1341)*1</f>
        <v>3388</v>
      </c>
      <c r="E1341" s="45">
        <f>(S1342-S1341)*80</f>
        <v>88</v>
      </c>
      <c r="F1341" s="45">
        <f t="shared" si="1372"/>
        <v>381</v>
      </c>
      <c r="G1341" s="79">
        <f t="shared" si="1373"/>
        <v>6741</v>
      </c>
      <c r="H1341" s="199">
        <v>0</v>
      </c>
      <c r="I1341" s="199">
        <v>1746</v>
      </c>
      <c r="J1341" s="200">
        <f t="shared" si="1323"/>
        <v>1746</v>
      </c>
      <c r="K1341" s="201">
        <f t="shared" si="1324"/>
        <v>-4995</v>
      </c>
      <c r="L1341" s="276">
        <v>82</v>
      </c>
      <c r="M1341" s="249">
        <v>9.375E-2</v>
      </c>
      <c r="N1341" s="153">
        <v>211257</v>
      </c>
      <c r="O1341" s="153">
        <v>107221</v>
      </c>
      <c r="P1341" s="153">
        <v>11028</v>
      </c>
      <c r="Q1341" s="153"/>
      <c r="R1341" s="153">
        <v>45461</v>
      </c>
      <c r="S1341" s="154">
        <v>0</v>
      </c>
      <c r="T1341" s="154"/>
      <c r="U1341" s="154"/>
      <c r="V1341" s="153">
        <v>306962</v>
      </c>
      <c r="W1341" s="153">
        <v>127872</v>
      </c>
      <c r="X1341" s="153">
        <v>110229</v>
      </c>
      <c r="Y1341" s="153">
        <v>92778</v>
      </c>
      <c r="Z1341" s="153">
        <v>209627</v>
      </c>
    </row>
    <row r="1342" spans="1:26" ht="18" hidden="1" customHeight="1" x14ac:dyDescent="0.2">
      <c r="A1342" s="47">
        <f t="shared" si="1325"/>
        <v>44193</v>
      </c>
      <c r="B1342" s="47" t="str">
        <f t="shared" si="1283"/>
        <v>一</v>
      </c>
      <c r="C1342" s="48">
        <f t="shared" ref="C1342" si="1375">(V1343-V1342)*1+(W1343-W1342)*32+(X1343-X1342)*12+(Y1343-Y1342)*6</f>
        <v>2125</v>
      </c>
      <c r="D1342" s="84">
        <f t="shared" si="1374"/>
        <v>735</v>
      </c>
      <c r="E1342" s="45">
        <f>(S1343-S1342)*80</f>
        <v>23.999999999999986</v>
      </c>
      <c r="F1342" s="45">
        <f t="shared" ref="F1342" si="1376">(Z1343-Z1342)*1</f>
        <v>129</v>
      </c>
      <c r="G1342" s="79">
        <f t="shared" ref="G1342" si="1377">C1342+D1342+F1342+E1342</f>
        <v>3013</v>
      </c>
      <c r="H1342" s="199">
        <v>2741</v>
      </c>
      <c r="I1342" s="199">
        <v>757</v>
      </c>
      <c r="J1342" s="200">
        <f t="shared" si="1323"/>
        <v>3498</v>
      </c>
      <c r="K1342" s="201">
        <f t="shared" si="1324"/>
        <v>485</v>
      </c>
      <c r="L1342" s="276">
        <v>255</v>
      </c>
      <c r="M1342" s="249">
        <v>0.47916666666666669</v>
      </c>
      <c r="N1342" s="235">
        <v>211657</v>
      </c>
      <c r="O1342" s="235">
        <v>107374</v>
      </c>
      <c r="P1342" s="235">
        <v>11047</v>
      </c>
      <c r="Q1342" s="235"/>
      <c r="R1342" s="275">
        <v>45497</v>
      </c>
      <c r="S1342" s="277">
        <v>1.1000000000000001</v>
      </c>
      <c r="T1342" s="277"/>
      <c r="U1342" s="277"/>
      <c r="V1342" s="235">
        <v>307374</v>
      </c>
      <c r="W1342" s="235">
        <v>127923</v>
      </c>
      <c r="X1342" s="235">
        <v>110299</v>
      </c>
      <c r="Y1342" s="235">
        <v>92778</v>
      </c>
      <c r="Z1342" s="235">
        <v>210008</v>
      </c>
    </row>
    <row r="1343" spans="1:26" ht="18" hidden="1" customHeight="1" x14ac:dyDescent="0.2">
      <c r="A1343" s="47">
        <f t="shared" si="1325"/>
        <v>44194</v>
      </c>
      <c r="B1343" s="47" t="str">
        <f t="shared" si="1283"/>
        <v>二</v>
      </c>
      <c r="C1343" s="48">
        <f t="shared" ref="C1343" si="1378">(V1344-V1343)*1+(W1344-W1343)*32+(X1344-X1343)*12+(Y1344-Y1343)*6</f>
        <v>2059</v>
      </c>
      <c r="D1343" s="84">
        <f t="shared" si="1374"/>
        <v>1453</v>
      </c>
      <c r="E1343" s="45">
        <f>(S1344-S1343)*80</f>
        <v>64.000000000000028</v>
      </c>
      <c r="F1343" s="45">
        <f t="shared" ref="F1343" si="1379">(Z1344-Z1343)*1</f>
        <v>114</v>
      </c>
      <c r="G1343" s="79">
        <f t="shared" ref="G1343" si="1380">C1343+D1343+F1343+E1343</f>
        <v>3690</v>
      </c>
      <c r="H1343" s="199">
        <v>2780</v>
      </c>
      <c r="I1343" s="199">
        <v>767</v>
      </c>
      <c r="J1343" s="200">
        <f t="shared" si="1323"/>
        <v>3547</v>
      </c>
      <c r="K1343" s="201">
        <f t="shared" si="1324"/>
        <v>-143</v>
      </c>
      <c r="L1343" s="276">
        <v>255</v>
      </c>
      <c r="M1343" s="249">
        <v>0.44791666666666669</v>
      </c>
      <c r="N1343" s="235">
        <v>211747</v>
      </c>
      <c r="O1343" s="235">
        <v>107428</v>
      </c>
      <c r="P1343" s="235">
        <v>11047</v>
      </c>
      <c r="Q1343" s="235"/>
      <c r="R1343" s="235">
        <v>45512</v>
      </c>
      <c r="S1343" s="236">
        <v>1.4</v>
      </c>
      <c r="T1343" s="236"/>
      <c r="U1343" s="236"/>
      <c r="V1343" s="235">
        <v>307539</v>
      </c>
      <c r="W1343" s="235">
        <v>127955</v>
      </c>
      <c r="X1343" s="235">
        <v>110377</v>
      </c>
      <c r="Y1343" s="235">
        <v>92778</v>
      </c>
      <c r="Z1343" s="235">
        <v>210137</v>
      </c>
    </row>
    <row r="1344" spans="1:26" ht="18" hidden="1" customHeight="1" x14ac:dyDescent="0.2">
      <c r="A1344" s="47">
        <f t="shared" si="1325"/>
        <v>44195</v>
      </c>
      <c r="B1344" s="47" t="str">
        <f t="shared" si="1283"/>
        <v>三</v>
      </c>
      <c r="C1344" s="48">
        <f t="shared" ref="C1344" si="1381">(V1345-V1344)*1+(W1345-W1344)*32+(X1345-X1344)*12+(Y1345-Y1344)*6</f>
        <v>2192</v>
      </c>
      <c r="D1344" s="84">
        <f t="shared" si="1374"/>
        <v>1133</v>
      </c>
      <c r="E1344" s="45">
        <f>(S1345-S1344)*80</f>
        <v>120</v>
      </c>
      <c r="F1344" s="45">
        <f t="shared" ref="F1344" si="1382">(Z1345-Z1344)*1</f>
        <v>147</v>
      </c>
      <c r="G1344" s="79">
        <f t="shared" ref="G1344" si="1383">C1344+D1344+F1344+E1344</f>
        <v>3592</v>
      </c>
      <c r="H1344" s="199">
        <v>2904</v>
      </c>
      <c r="I1344" s="199">
        <v>780</v>
      </c>
      <c r="J1344" s="200">
        <f t="shared" si="1323"/>
        <v>3684</v>
      </c>
      <c r="K1344" s="201">
        <f t="shared" si="1324"/>
        <v>92</v>
      </c>
      <c r="L1344" s="276">
        <v>248</v>
      </c>
      <c r="M1344" s="249">
        <v>0.42708333333333331</v>
      </c>
      <c r="N1344" s="235">
        <v>211927</v>
      </c>
      <c r="O1344" s="235">
        <v>107479</v>
      </c>
      <c r="P1344" s="235">
        <v>11047</v>
      </c>
      <c r="Q1344" s="235"/>
      <c r="R1344" s="235">
        <v>45525</v>
      </c>
      <c r="S1344" s="236">
        <v>2.2000000000000002</v>
      </c>
      <c r="T1344" s="236"/>
      <c r="U1344" s="236"/>
      <c r="V1344" s="235">
        <v>307710</v>
      </c>
      <c r="W1344" s="235">
        <v>127984</v>
      </c>
      <c r="X1344" s="235">
        <v>110457</v>
      </c>
      <c r="Y1344" s="235">
        <v>92778</v>
      </c>
      <c r="Z1344" s="235">
        <v>210251</v>
      </c>
    </row>
    <row r="1345" spans="1:26" ht="18" hidden="1" customHeight="1" x14ac:dyDescent="0.2">
      <c r="A1345" s="47">
        <f t="shared" si="1325"/>
        <v>44196</v>
      </c>
      <c r="B1345" s="47" t="str">
        <f t="shared" si="1283"/>
        <v>四</v>
      </c>
      <c r="C1345" s="48">
        <f t="shared" ref="C1345:C1347" si="1384">(V1346-V1345)*1+(W1346-W1345)*32+(X1346-X1345)*12+(Y1346-Y1345)*6</f>
        <v>0</v>
      </c>
      <c r="D1345" s="84">
        <f t="shared" si="1374"/>
        <v>0</v>
      </c>
      <c r="E1345" s="45">
        <f t="shared" ref="E1345:E1347" si="1385">(S1346-S1345)*80</f>
        <v>0</v>
      </c>
      <c r="F1345" s="45">
        <f t="shared" ref="F1345:F1347" si="1386">(Z1346-Z1345)*1</f>
        <v>0</v>
      </c>
      <c r="G1345" s="79">
        <f t="shared" ref="G1345:G1347" si="1387">C1345+D1345+F1345+E1345</f>
        <v>0</v>
      </c>
      <c r="H1345" s="199">
        <v>2527</v>
      </c>
      <c r="I1345" s="199">
        <v>834</v>
      </c>
      <c r="J1345" s="200">
        <f t="shared" si="1323"/>
        <v>3361</v>
      </c>
      <c r="K1345" s="201">
        <f t="shared" si="1324"/>
        <v>3361</v>
      </c>
      <c r="L1345" s="276">
        <v>236</v>
      </c>
      <c r="M1345" s="249">
        <v>0.46875</v>
      </c>
      <c r="N1345" s="235">
        <v>212067</v>
      </c>
      <c r="O1345" s="235">
        <v>107533</v>
      </c>
      <c r="P1345" s="235">
        <v>11047</v>
      </c>
      <c r="Q1345" s="235"/>
      <c r="R1345" s="235">
        <v>45538</v>
      </c>
      <c r="S1345" s="236">
        <v>3.7</v>
      </c>
      <c r="T1345" s="236"/>
      <c r="U1345" s="236"/>
      <c r="V1345" s="235">
        <v>307886</v>
      </c>
      <c r="W1345" s="235">
        <v>128017</v>
      </c>
      <c r="X1345" s="235">
        <v>110537</v>
      </c>
      <c r="Y1345" s="235">
        <v>92778</v>
      </c>
      <c r="Z1345" s="235">
        <v>210398</v>
      </c>
    </row>
    <row r="1346" spans="1:26" ht="18" hidden="1" customHeight="1" thickTop="1" x14ac:dyDescent="0.2">
      <c r="A1346" s="279">
        <f t="shared" si="1325"/>
        <v>44197</v>
      </c>
      <c r="B1346" s="278" t="s">
        <v>189</v>
      </c>
      <c r="C1346" s="48">
        <f t="shared" si="1384"/>
        <v>0</v>
      </c>
      <c r="D1346" s="84">
        <f t="shared" si="1374"/>
        <v>0</v>
      </c>
      <c r="E1346" s="45">
        <f t="shared" si="1385"/>
        <v>0</v>
      </c>
      <c r="F1346" s="45">
        <f t="shared" si="1386"/>
        <v>0</v>
      </c>
      <c r="G1346" s="79">
        <f t="shared" si="1387"/>
        <v>0</v>
      </c>
      <c r="H1346" s="199">
        <v>0</v>
      </c>
      <c r="I1346" s="199">
        <v>1159</v>
      </c>
      <c r="J1346" s="200">
        <f t="shared" si="1323"/>
        <v>1159</v>
      </c>
      <c r="K1346" s="201">
        <f t="shared" si="1324"/>
        <v>1159</v>
      </c>
      <c r="L1346" s="276">
        <v>94</v>
      </c>
      <c r="M1346" s="249">
        <v>0.27083333333333331</v>
      </c>
      <c r="N1346" s="153">
        <v>212067</v>
      </c>
      <c r="O1346" s="153">
        <v>107533</v>
      </c>
      <c r="P1346" s="153">
        <v>11047</v>
      </c>
      <c r="Q1346" s="153"/>
      <c r="R1346" s="153">
        <v>45538</v>
      </c>
      <c r="S1346" s="154">
        <v>3.7</v>
      </c>
      <c r="T1346" s="154"/>
      <c r="U1346" s="154"/>
      <c r="V1346" s="153">
        <v>307886</v>
      </c>
      <c r="W1346" s="153">
        <v>128017</v>
      </c>
      <c r="X1346" s="153">
        <v>110537</v>
      </c>
      <c r="Y1346" s="153">
        <v>92778</v>
      </c>
      <c r="Z1346" s="153">
        <v>210398</v>
      </c>
    </row>
    <row r="1347" spans="1:26" ht="18" hidden="1" customHeight="1" x14ac:dyDescent="0.2">
      <c r="A1347" s="279">
        <f t="shared" si="1325"/>
        <v>44198</v>
      </c>
      <c r="B1347" s="279" t="s">
        <v>195</v>
      </c>
      <c r="C1347" s="48">
        <f t="shared" si="1384"/>
        <v>0</v>
      </c>
      <c r="D1347" s="84">
        <f t="shared" si="1374"/>
        <v>0</v>
      </c>
      <c r="E1347" s="45">
        <f t="shared" si="1385"/>
        <v>0</v>
      </c>
      <c r="F1347" s="45">
        <f t="shared" si="1386"/>
        <v>0</v>
      </c>
      <c r="G1347" s="79">
        <f t="shared" si="1387"/>
        <v>0</v>
      </c>
      <c r="H1347" s="199">
        <v>0</v>
      </c>
      <c r="I1347" s="199">
        <f>483+285</f>
        <v>768</v>
      </c>
      <c r="J1347" s="200">
        <f t="shared" ref="J1347:J1381" si="1388">H1347+I1347</f>
        <v>768</v>
      </c>
      <c r="K1347" s="201">
        <f t="shared" ref="K1347:K1381" si="1389">J1347-G1347</f>
        <v>768</v>
      </c>
      <c r="L1347" s="281">
        <v>43</v>
      </c>
      <c r="M1347" s="249">
        <v>0.34375</v>
      </c>
      <c r="N1347" s="153">
        <v>212067</v>
      </c>
      <c r="O1347" s="153">
        <v>107533</v>
      </c>
      <c r="P1347" s="153">
        <v>11047</v>
      </c>
      <c r="Q1347" s="153"/>
      <c r="R1347" s="153">
        <v>45538</v>
      </c>
      <c r="S1347" s="154">
        <v>3.7</v>
      </c>
      <c r="T1347" s="154"/>
      <c r="U1347" s="154"/>
      <c r="V1347" s="153">
        <v>307886</v>
      </c>
      <c r="W1347" s="153">
        <v>128017</v>
      </c>
      <c r="X1347" s="153">
        <v>110537</v>
      </c>
      <c r="Y1347" s="153">
        <v>92778</v>
      </c>
      <c r="Z1347" s="153">
        <v>210398</v>
      </c>
    </row>
    <row r="1348" spans="1:26" ht="18" hidden="1" customHeight="1" x14ac:dyDescent="0.2">
      <c r="A1348" s="279">
        <f t="shared" si="1325"/>
        <v>44199</v>
      </c>
      <c r="B1348" s="278" t="s">
        <v>190</v>
      </c>
      <c r="C1348" s="48">
        <f t="shared" ref="C1348" si="1390">(V1349-V1348)*1+(W1349-W1348)*32+(X1349-X1348)*12+(Y1349-Y1348)*6</f>
        <v>3291</v>
      </c>
      <c r="D1348" s="84">
        <f t="shared" si="1374"/>
        <v>1144</v>
      </c>
      <c r="E1348" s="45">
        <f t="shared" ref="E1348" si="1391">(S1349-S1348)*80</f>
        <v>247.99999999999997</v>
      </c>
      <c r="F1348" s="45">
        <f t="shared" ref="F1348" si="1392">(Z1349-Z1348)*1</f>
        <v>476</v>
      </c>
      <c r="G1348" s="79">
        <f t="shared" ref="G1348" si="1393">C1348+D1348+F1348+E1348</f>
        <v>5159</v>
      </c>
      <c r="H1348" s="199">
        <v>0</v>
      </c>
      <c r="I1348" s="199">
        <v>771</v>
      </c>
      <c r="J1348" s="200">
        <f t="shared" si="1388"/>
        <v>771</v>
      </c>
      <c r="K1348" s="201">
        <f t="shared" si="1389"/>
        <v>-4388</v>
      </c>
      <c r="L1348" s="276">
        <v>44</v>
      </c>
      <c r="M1348" s="249">
        <v>0.17708333333333334</v>
      </c>
      <c r="N1348" s="153">
        <v>212067</v>
      </c>
      <c r="O1348" s="153">
        <v>107533</v>
      </c>
      <c r="P1348" s="153">
        <v>11047</v>
      </c>
      <c r="Q1348" s="153"/>
      <c r="R1348" s="153">
        <v>45538</v>
      </c>
      <c r="S1348" s="154">
        <v>3.7</v>
      </c>
      <c r="T1348" s="154"/>
      <c r="U1348" s="154"/>
      <c r="V1348" s="153">
        <v>307886</v>
      </c>
      <c r="W1348" s="153">
        <v>128017</v>
      </c>
      <c r="X1348" s="153">
        <v>110537</v>
      </c>
      <c r="Y1348" s="153">
        <v>92778</v>
      </c>
      <c r="Z1348" s="153">
        <v>210398</v>
      </c>
    </row>
    <row r="1349" spans="1:26" ht="18" hidden="1" customHeight="1" x14ac:dyDescent="0.2">
      <c r="A1349" s="279">
        <f t="shared" si="1325"/>
        <v>44200</v>
      </c>
      <c r="B1349" s="280" t="s">
        <v>191</v>
      </c>
      <c r="C1349" s="48">
        <f t="shared" ref="C1349" si="1394">(V1350-V1349)*1+(W1350-W1349)*32+(X1350-X1349)*12+(Y1350-Y1349)*6</f>
        <v>2145</v>
      </c>
      <c r="D1349" s="84">
        <f t="shared" si="1374"/>
        <v>1131</v>
      </c>
      <c r="E1349" s="45">
        <f t="shared" ref="E1349" si="1395">(S1350-S1349)*80</f>
        <v>72.000000000000028</v>
      </c>
      <c r="F1349" s="45">
        <f t="shared" ref="F1349" si="1396">(Z1350-Z1349)*1</f>
        <v>139</v>
      </c>
      <c r="G1349" s="79">
        <f t="shared" ref="G1349" si="1397">C1349+D1349+F1349+E1349</f>
        <v>3487</v>
      </c>
      <c r="H1349" s="199">
        <v>2893</v>
      </c>
      <c r="I1349" s="199">
        <v>435</v>
      </c>
      <c r="J1349" s="200">
        <f t="shared" si="1388"/>
        <v>3328</v>
      </c>
      <c r="K1349" s="201">
        <f t="shared" si="1389"/>
        <v>-159</v>
      </c>
      <c r="L1349" s="276">
        <v>256</v>
      </c>
      <c r="M1349" s="249">
        <v>0.44791666666666669</v>
      </c>
      <c r="N1349" s="235">
        <v>212207</v>
      </c>
      <c r="O1349" s="235">
        <v>107575</v>
      </c>
      <c r="P1349" s="235">
        <v>11047</v>
      </c>
      <c r="Q1349" s="235"/>
      <c r="R1349" s="235">
        <v>45562</v>
      </c>
      <c r="S1349" s="236">
        <v>6.8</v>
      </c>
      <c r="T1349" s="236"/>
      <c r="U1349" s="236"/>
      <c r="V1349" s="235">
        <v>308417</v>
      </c>
      <c r="W1349" s="235">
        <v>128077</v>
      </c>
      <c r="X1349" s="235">
        <v>110607</v>
      </c>
      <c r="Y1349" s="235">
        <v>92778</v>
      </c>
      <c r="Z1349" s="235">
        <v>210874</v>
      </c>
    </row>
    <row r="1350" spans="1:26" ht="18" hidden="1" customHeight="1" x14ac:dyDescent="0.2">
      <c r="A1350" s="279">
        <f t="shared" si="1325"/>
        <v>44201</v>
      </c>
      <c r="B1350" s="280" t="s">
        <v>192</v>
      </c>
      <c r="C1350" s="48">
        <f t="shared" ref="C1350" si="1398">(V1351-V1350)*1+(W1351-W1350)*32+(X1351-X1350)*12+(Y1351-Y1350)*6</f>
        <v>1953</v>
      </c>
      <c r="D1350" s="84">
        <f t="shared" si="1374"/>
        <v>1131</v>
      </c>
      <c r="E1350" s="45">
        <f t="shared" ref="E1350" si="1399">(S1351-S1350)*80</f>
        <v>79.999999999999929</v>
      </c>
      <c r="F1350" s="45">
        <f t="shared" ref="F1350" si="1400">(Z1351-Z1350)*1</f>
        <v>147</v>
      </c>
      <c r="G1350" s="79">
        <f t="shared" ref="G1350" si="1401">C1350+D1350+F1350+E1350</f>
        <v>3311</v>
      </c>
      <c r="H1350" s="199">
        <v>2708</v>
      </c>
      <c r="I1350" s="199">
        <v>830</v>
      </c>
      <c r="J1350" s="200">
        <f t="shared" si="1388"/>
        <v>3538</v>
      </c>
      <c r="K1350" s="201">
        <f t="shared" si="1389"/>
        <v>227</v>
      </c>
      <c r="L1350" s="276">
        <v>225</v>
      </c>
      <c r="M1350" s="249">
        <v>0.66666666666666663</v>
      </c>
      <c r="N1350" s="235">
        <v>212347</v>
      </c>
      <c r="O1350" s="235">
        <v>107634</v>
      </c>
      <c r="P1350" s="235">
        <v>11047</v>
      </c>
      <c r="Q1350" s="235"/>
      <c r="R1350" s="235">
        <v>45573</v>
      </c>
      <c r="S1350" s="236">
        <v>7.7</v>
      </c>
      <c r="T1350" s="236"/>
      <c r="U1350" s="236"/>
      <c r="V1350" s="235">
        <v>308590</v>
      </c>
      <c r="W1350" s="235">
        <v>128109</v>
      </c>
      <c r="X1350" s="235">
        <v>110686</v>
      </c>
      <c r="Y1350" s="235">
        <v>92778</v>
      </c>
      <c r="Z1350" s="235">
        <v>211013</v>
      </c>
    </row>
    <row r="1351" spans="1:26" ht="18" hidden="1" customHeight="1" x14ac:dyDescent="0.2">
      <c r="A1351" s="279">
        <f t="shared" si="1325"/>
        <v>44202</v>
      </c>
      <c r="B1351" s="280" t="s">
        <v>193</v>
      </c>
      <c r="C1351" s="48">
        <f t="shared" ref="C1351" si="1402">(V1352-V1351)*1+(W1352-W1351)*32+(X1352-X1351)*12+(Y1352-Y1351)*6</f>
        <v>1972</v>
      </c>
      <c r="D1351" s="84">
        <f t="shared" si="1374"/>
        <v>1133</v>
      </c>
      <c r="E1351" s="45">
        <f t="shared" ref="E1351" si="1403">(S1352-S1351)*80</f>
        <v>72.000000000000028</v>
      </c>
      <c r="F1351" s="45">
        <f t="shared" ref="F1351" si="1404">(Z1352-Z1351)*1</f>
        <v>141</v>
      </c>
      <c r="G1351" s="79">
        <f t="shared" ref="G1351" si="1405">C1351+D1351+F1351+E1351</f>
        <v>3318</v>
      </c>
      <c r="H1351" s="199">
        <v>2874</v>
      </c>
      <c r="I1351" s="199">
        <v>808</v>
      </c>
      <c r="J1351" s="200">
        <f t="shared" si="1388"/>
        <v>3682</v>
      </c>
      <c r="K1351" s="201">
        <f t="shared" si="1389"/>
        <v>364</v>
      </c>
      <c r="L1351" s="276">
        <v>261</v>
      </c>
      <c r="M1351" s="249">
        <v>0.72916666666666663</v>
      </c>
      <c r="N1351" s="235">
        <v>212487</v>
      </c>
      <c r="O1351" s="235">
        <v>107684</v>
      </c>
      <c r="P1351" s="235">
        <v>11047</v>
      </c>
      <c r="Q1351" s="235"/>
      <c r="R1351" s="235">
        <v>45584</v>
      </c>
      <c r="S1351" s="236">
        <v>8.6999999999999993</v>
      </c>
      <c r="T1351" s="236"/>
      <c r="U1351" s="236"/>
      <c r="V1351" s="235">
        <v>308759</v>
      </c>
      <c r="W1351" s="235">
        <v>128137</v>
      </c>
      <c r="X1351" s="235">
        <v>110760</v>
      </c>
      <c r="Y1351" s="235">
        <v>92778</v>
      </c>
      <c r="Z1351" s="235">
        <v>211160</v>
      </c>
    </row>
    <row r="1352" spans="1:26" ht="18" hidden="1" customHeight="1" x14ac:dyDescent="0.2">
      <c r="A1352" s="279">
        <f t="shared" si="1325"/>
        <v>44203</v>
      </c>
      <c r="B1352" s="280" t="s">
        <v>194</v>
      </c>
      <c r="C1352" s="48">
        <f t="shared" ref="C1352" si="1406">(V1353-V1352)*1+(W1353-W1352)*32+(X1353-X1352)*12+(Y1353-Y1352)*6</f>
        <v>2567</v>
      </c>
      <c r="D1352" s="84">
        <f t="shared" si="1374"/>
        <v>1216</v>
      </c>
      <c r="E1352" s="45">
        <f t="shared" ref="E1352" si="1407">(S1353-S1352)*80</f>
        <v>87.999999999999972</v>
      </c>
      <c r="F1352" s="45">
        <f t="shared" ref="F1352" si="1408">(Z1353-Z1352)*1</f>
        <v>159</v>
      </c>
      <c r="G1352" s="79">
        <f t="shared" ref="G1352" si="1409">C1352+D1352+F1352+E1352</f>
        <v>4030</v>
      </c>
      <c r="H1352" s="199">
        <v>3038</v>
      </c>
      <c r="I1352" s="199">
        <v>823</v>
      </c>
      <c r="J1352" s="200">
        <f t="shared" si="1388"/>
        <v>3861</v>
      </c>
      <c r="K1352" s="201">
        <f t="shared" si="1389"/>
        <v>-169</v>
      </c>
      <c r="L1352" s="276">
        <v>262</v>
      </c>
      <c r="M1352" s="249">
        <v>0.45833333333333331</v>
      </c>
      <c r="N1352" s="235">
        <v>212627</v>
      </c>
      <c r="O1352" s="235">
        <v>107737</v>
      </c>
      <c r="P1352" s="235">
        <v>11047</v>
      </c>
      <c r="Q1352" s="235"/>
      <c r="R1352" s="235">
        <v>45597</v>
      </c>
      <c r="S1352" s="236">
        <v>9.6</v>
      </c>
      <c r="T1352" s="236"/>
      <c r="U1352" s="236"/>
      <c r="V1352" s="235">
        <v>308927</v>
      </c>
      <c r="W1352" s="235">
        <v>128160</v>
      </c>
      <c r="X1352" s="235">
        <v>110849</v>
      </c>
      <c r="Y1352" s="235">
        <v>92778</v>
      </c>
      <c r="Z1352" s="235">
        <v>211301</v>
      </c>
    </row>
    <row r="1353" spans="1:26" ht="18" hidden="1" customHeight="1" x14ac:dyDescent="0.2">
      <c r="A1353" s="279">
        <f t="shared" si="1325"/>
        <v>44204</v>
      </c>
      <c r="B1353" s="278" t="s">
        <v>189</v>
      </c>
      <c r="C1353" s="48">
        <f t="shared" ref="C1353:C1355" si="1410">(V1354-V1353)*1+(W1354-W1353)*32+(X1354-X1353)*12+(Y1354-Y1353)*6</f>
        <v>0</v>
      </c>
      <c r="D1353" s="84">
        <f t="shared" si="1374"/>
        <v>0</v>
      </c>
      <c r="E1353" s="45">
        <f t="shared" ref="E1353:E1355" si="1411">(S1354-S1353)*80</f>
        <v>0</v>
      </c>
      <c r="F1353" s="45">
        <f t="shared" ref="F1353:F1355" si="1412">(Z1354-Z1353)*1</f>
        <v>0</v>
      </c>
      <c r="G1353" s="79">
        <f t="shared" ref="G1353:G1355" si="1413">C1353+D1353+F1353+E1353</f>
        <v>0</v>
      </c>
      <c r="H1353" s="199">
        <v>2946</v>
      </c>
      <c r="I1353" s="199">
        <v>851</v>
      </c>
      <c r="J1353" s="200">
        <f t="shared" si="1388"/>
        <v>3797</v>
      </c>
      <c r="K1353" s="201">
        <f t="shared" si="1389"/>
        <v>3797</v>
      </c>
      <c r="L1353" s="276">
        <v>256</v>
      </c>
      <c r="M1353" s="249">
        <v>0.58333333333333337</v>
      </c>
      <c r="N1353" s="235">
        <v>212777</v>
      </c>
      <c r="O1353" s="235">
        <v>107794</v>
      </c>
      <c r="P1353" s="235">
        <v>11047</v>
      </c>
      <c r="Q1353" s="235"/>
      <c r="R1353" s="235">
        <v>45613</v>
      </c>
      <c r="S1353" s="236">
        <v>10.7</v>
      </c>
      <c r="T1353" s="236"/>
      <c r="U1353" s="236"/>
      <c r="V1353" s="235">
        <v>309102</v>
      </c>
      <c r="W1353" s="235">
        <v>128201</v>
      </c>
      <c r="X1353" s="235">
        <v>110939</v>
      </c>
      <c r="Y1353" s="235">
        <v>92778</v>
      </c>
      <c r="Z1353" s="235">
        <v>211460</v>
      </c>
    </row>
    <row r="1354" spans="1:26" ht="18" hidden="1" customHeight="1" x14ac:dyDescent="0.2">
      <c r="A1354" s="279">
        <f t="shared" si="1325"/>
        <v>44205</v>
      </c>
      <c r="B1354" s="279" t="s">
        <v>195</v>
      </c>
      <c r="C1354" s="48">
        <f t="shared" si="1410"/>
        <v>0</v>
      </c>
      <c r="D1354" s="84">
        <f t="shared" si="1374"/>
        <v>0</v>
      </c>
      <c r="E1354" s="45">
        <f t="shared" si="1411"/>
        <v>0</v>
      </c>
      <c r="F1354" s="45">
        <f t="shared" si="1412"/>
        <v>0</v>
      </c>
      <c r="G1354" s="79">
        <f t="shared" si="1413"/>
        <v>0</v>
      </c>
      <c r="H1354" s="199">
        <v>0</v>
      </c>
      <c r="I1354" s="199">
        <f>575+642</f>
        <v>1217</v>
      </c>
      <c r="J1354" s="200">
        <f t="shared" si="1388"/>
        <v>1217</v>
      </c>
      <c r="K1354" s="201">
        <f t="shared" si="1389"/>
        <v>1217</v>
      </c>
      <c r="L1354" s="276">
        <v>94</v>
      </c>
      <c r="M1354" s="249">
        <v>2.0833333333333332E-2</v>
      </c>
      <c r="N1354" s="160">
        <v>212777</v>
      </c>
      <c r="O1354" s="160">
        <v>107794</v>
      </c>
      <c r="P1354" s="160">
        <v>11047</v>
      </c>
      <c r="Q1354" s="160"/>
      <c r="R1354" s="160">
        <v>45613</v>
      </c>
      <c r="S1354" s="161">
        <v>10.7</v>
      </c>
      <c r="T1354" s="161"/>
      <c r="U1354" s="161"/>
      <c r="V1354" s="160">
        <v>309102</v>
      </c>
      <c r="W1354" s="160">
        <v>128201</v>
      </c>
      <c r="X1354" s="160">
        <v>110939</v>
      </c>
      <c r="Y1354" s="160">
        <v>92778</v>
      </c>
      <c r="Z1354" s="160">
        <v>211460</v>
      </c>
    </row>
    <row r="1355" spans="1:26" ht="18" hidden="1" customHeight="1" x14ac:dyDescent="0.2">
      <c r="A1355" s="279">
        <f t="shared" si="1325"/>
        <v>44206</v>
      </c>
      <c r="B1355" s="278" t="s">
        <v>190</v>
      </c>
      <c r="C1355" s="48">
        <f t="shared" si="1410"/>
        <v>3050</v>
      </c>
      <c r="D1355" s="84">
        <f t="shared" si="1374"/>
        <v>1086</v>
      </c>
      <c r="E1355" s="45">
        <f t="shared" si="1411"/>
        <v>480</v>
      </c>
      <c r="F1355" s="45">
        <f t="shared" si="1412"/>
        <v>576</v>
      </c>
      <c r="G1355" s="79">
        <f t="shared" si="1413"/>
        <v>5192</v>
      </c>
      <c r="H1355" s="199">
        <v>0</v>
      </c>
      <c r="I1355" s="199">
        <v>938</v>
      </c>
      <c r="J1355" s="200">
        <f t="shared" si="1388"/>
        <v>938</v>
      </c>
      <c r="K1355" s="201">
        <f t="shared" si="1389"/>
        <v>-4254</v>
      </c>
      <c r="L1355" s="276">
        <v>259</v>
      </c>
      <c r="M1355" s="249">
        <v>0.54166666666666663</v>
      </c>
      <c r="N1355" s="160">
        <v>212777</v>
      </c>
      <c r="O1355" s="160">
        <v>107794</v>
      </c>
      <c r="P1355" s="160">
        <v>11047</v>
      </c>
      <c r="Q1355" s="160"/>
      <c r="R1355" s="160">
        <v>45613</v>
      </c>
      <c r="S1355" s="161">
        <v>10.7</v>
      </c>
      <c r="T1355" s="161"/>
      <c r="U1355" s="161"/>
      <c r="V1355" s="160">
        <v>309102</v>
      </c>
      <c r="W1355" s="160">
        <v>128201</v>
      </c>
      <c r="X1355" s="160">
        <v>110939</v>
      </c>
      <c r="Y1355" s="160">
        <v>92778</v>
      </c>
      <c r="Z1355" s="160">
        <v>211460</v>
      </c>
    </row>
    <row r="1356" spans="1:26" ht="18" hidden="1" customHeight="1" x14ac:dyDescent="0.2">
      <c r="A1356" s="279">
        <f t="shared" si="1325"/>
        <v>44207</v>
      </c>
      <c r="B1356" s="280" t="s">
        <v>191</v>
      </c>
      <c r="C1356" s="48">
        <f t="shared" ref="C1356" si="1414">(V1357-V1356)*1+(W1357-W1356)*32+(X1357-X1356)*12+(Y1357-Y1356)*6</f>
        <v>2572</v>
      </c>
      <c r="D1356" s="84">
        <f t="shared" si="1374"/>
        <v>1132</v>
      </c>
      <c r="E1356" s="45">
        <f t="shared" ref="E1356" si="1415">(S1357-S1356)*80</f>
        <v>24.000000000000057</v>
      </c>
      <c r="F1356" s="45">
        <f t="shared" ref="F1356" si="1416">(Z1357-Z1356)*1</f>
        <v>193</v>
      </c>
      <c r="G1356" s="79">
        <f t="shared" ref="G1356" si="1417">C1356+D1356+F1356+E1356</f>
        <v>3921</v>
      </c>
      <c r="H1356" s="199">
        <v>3070</v>
      </c>
      <c r="I1356" s="199">
        <v>533</v>
      </c>
      <c r="J1356" s="200">
        <f t="shared" si="1388"/>
        <v>3603</v>
      </c>
      <c r="K1356" s="201">
        <f t="shared" si="1389"/>
        <v>-318</v>
      </c>
      <c r="L1356" s="281">
        <v>268</v>
      </c>
      <c r="M1356" s="249">
        <v>0.58333333333333337</v>
      </c>
      <c r="N1356" s="235">
        <v>212907</v>
      </c>
      <c r="O1356" s="235">
        <v>107839</v>
      </c>
      <c r="P1356" s="235">
        <v>11047</v>
      </c>
      <c r="Q1356" s="235"/>
      <c r="R1356" s="235">
        <v>45659</v>
      </c>
      <c r="S1356" s="236">
        <v>16.7</v>
      </c>
      <c r="T1356" s="236"/>
      <c r="U1356" s="236"/>
      <c r="V1356" s="235">
        <v>309556</v>
      </c>
      <c r="W1356" s="235">
        <v>128254</v>
      </c>
      <c r="X1356" s="235">
        <v>111014</v>
      </c>
      <c r="Y1356" s="235">
        <v>92778</v>
      </c>
      <c r="Z1356" s="235">
        <v>212036</v>
      </c>
    </row>
    <row r="1357" spans="1:26" ht="18" hidden="1" customHeight="1" x14ac:dyDescent="0.2">
      <c r="A1357" s="279">
        <f t="shared" si="1325"/>
        <v>44208</v>
      </c>
      <c r="B1357" s="280" t="s">
        <v>192</v>
      </c>
      <c r="C1357" s="48">
        <f t="shared" ref="C1357" si="1418">(V1358-V1357)*1+(W1358-W1357)*32+(X1358-X1357)*12+(Y1358-Y1357)*6</f>
        <v>2304</v>
      </c>
      <c r="D1357" s="84">
        <f t="shared" si="1374"/>
        <v>1050</v>
      </c>
      <c r="E1357" s="45">
        <f t="shared" ref="E1357" si="1419">(S1358-S1357)*80</f>
        <v>144.00000000000006</v>
      </c>
      <c r="F1357" s="45">
        <f t="shared" ref="F1357" si="1420">(Z1358-Z1357)*1</f>
        <v>162</v>
      </c>
      <c r="G1357" s="79">
        <f t="shared" ref="G1357" si="1421">C1357+D1357+F1357+E1357</f>
        <v>3660</v>
      </c>
      <c r="H1357" s="199">
        <v>3032</v>
      </c>
      <c r="I1357" s="199">
        <v>962</v>
      </c>
      <c r="J1357" s="200">
        <f t="shared" si="1388"/>
        <v>3994</v>
      </c>
      <c r="K1357" s="201">
        <f t="shared" si="1389"/>
        <v>334</v>
      </c>
      <c r="L1357" s="276">
        <v>258</v>
      </c>
      <c r="M1357" s="249">
        <v>0.78125</v>
      </c>
      <c r="N1357" s="235">
        <v>213047</v>
      </c>
      <c r="O1357" s="235">
        <v>107892</v>
      </c>
      <c r="P1357" s="235">
        <v>11047</v>
      </c>
      <c r="Q1357" s="235"/>
      <c r="R1357" s="235">
        <v>45671</v>
      </c>
      <c r="S1357" s="236">
        <v>17</v>
      </c>
      <c r="T1357" s="236"/>
      <c r="U1357" s="236"/>
      <c r="V1357" s="235">
        <v>309748</v>
      </c>
      <c r="W1357" s="235">
        <v>128292</v>
      </c>
      <c r="X1357" s="235">
        <v>111111</v>
      </c>
      <c r="Y1357" s="235">
        <v>92778</v>
      </c>
      <c r="Z1357" s="235">
        <v>212229</v>
      </c>
    </row>
    <row r="1358" spans="1:26" ht="18" hidden="1" customHeight="1" x14ac:dyDescent="0.2">
      <c r="A1358" s="279">
        <f t="shared" si="1325"/>
        <v>44209</v>
      </c>
      <c r="B1358" s="280" t="s">
        <v>193</v>
      </c>
      <c r="C1358" s="48">
        <f t="shared" ref="C1358" si="1422">(V1359-V1358)*1+(W1359-W1358)*32+(X1359-X1358)*12+(Y1359-Y1358)*6</f>
        <v>2332</v>
      </c>
      <c r="D1358" s="84">
        <f t="shared" si="1374"/>
        <v>1050</v>
      </c>
      <c r="E1358" s="45">
        <f t="shared" ref="E1358" si="1423">(S1359-S1358)*80</f>
        <v>160</v>
      </c>
      <c r="F1358" s="45">
        <f t="shared" ref="F1358" si="1424">(Z1359-Z1358)*1</f>
        <v>154</v>
      </c>
      <c r="G1358" s="79">
        <f t="shared" ref="G1358" si="1425">C1358+D1358+F1358+E1358</f>
        <v>3696</v>
      </c>
      <c r="H1358" s="199">
        <v>3042</v>
      </c>
      <c r="I1358" s="199">
        <v>861</v>
      </c>
      <c r="J1358" s="200">
        <f t="shared" si="1388"/>
        <v>3903</v>
      </c>
      <c r="K1358" s="201">
        <f t="shared" si="1389"/>
        <v>207</v>
      </c>
      <c r="L1358" s="276">
        <v>248</v>
      </c>
      <c r="M1358" s="249">
        <v>0.38541666666666669</v>
      </c>
      <c r="N1358" s="235">
        <v>213177</v>
      </c>
      <c r="O1358" s="235">
        <v>107941</v>
      </c>
      <c r="P1358" s="235">
        <v>11047</v>
      </c>
      <c r="Q1358" s="235"/>
      <c r="R1358" s="235">
        <v>45681</v>
      </c>
      <c r="S1358" s="236">
        <v>18.8</v>
      </c>
      <c r="T1358" s="236"/>
      <c r="U1358" s="236"/>
      <c r="V1358" s="235">
        <v>309928</v>
      </c>
      <c r="W1358" s="235">
        <v>128325</v>
      </c>
      <c r="X1358" s="235">
        <v>111200</v>
      </c>
      <c r="Y1358" s="235">
        <v>92778</v>
      </c>
      <c r="Z1358" s="235">
        <v>212391</v>
      </c>
    </row>
    <row r="1359" spans="1:26" ht="18" hidden="1" customHeight="1" x14ac:dyDescent="0.2">
      <c r="A1359" s="279">
        <f t="shared" si="1325"/>
        <v>44210</v>
      </c>
      <c r="B1359" s="280" t="s">
        <v>194</v>
      </c>
      <c r="C1359" s="48">
        <f t="shared" ref="C1359" si="1426">(V1360-V1359)*1+(W1360-W1359)*32+(X1360-X1359)*12+(Y1360-Y1359)*6</f>
        <v>2248</v>
      </c>
      <c r="D1359" s="84">
        <f t="shared" si="1374"/>
        <v>970</v>
      </c>
      <c r="E1359" s="45">
        <f t="shared" ref="E1359" si="1427">(S1360-S1359)*80</f>
        <v>160</v>
      </c>
      <c r="F1359" s="45">
        <f t="shared" ref="F1359" si="1428">(Z1360-Z1359)*1</f>
        <v>159</v>
      </c>
      <c r="G1359" s="79">
        <f t="shared" ref="G1359" si="1429">C1359+D1359+F1359+E1359</f>
        <v>3537</v>
      </c>
      <c r="H1359" s="199">
        <v>2912</v>
      </c>
      <c r="I1359" s="199">
        <v>820</v>
      </c>
      <c r="J1359" s="200">
        <f t="shared" si="1388"/>
        <v>3732</v>
      </c>
      <c r="K1359" s="201">
        <f t="shared" si="1389"/>
        <v>195</v>
      </c>
      <c r="L1359" s="276">
        <v>245</v>
      </c>
      <c r="M1359" s="249">
        <v>0.57291666666666663</v>
      </c>
      <c r="N1359" s="235">
        <v>213307</v>
      </c>
      <c r="O1359" s="235">
        <v>107992</v>
      </c>
      <c r="P1359" s="235">
        <v>11047</v>
      </c>
      <c r="Q1359" s="235"/>
      <c r="R1359" s="235">
        <v>45691</v>
      </c>
      <c r="S1359" s="236">
        <v>20.8</v>
      </c>
      <c r="T1359" s="236"/>
      <c r="U1359" s="236"/>
      <c r="V1359" s="235">
        <v>310100</v>
      </c>
      <c r="W1359" s="235">
        <v>128358</v>
      </c>
      <c r="X1359" s="235">
        <v>111292</v>
      </c>
      <c r="Y1359" s="235">
        <v>92778</v>
      </c>
      <c r="Z1359" s="235">
        <v>212545</v>
      </c>
    </row>
    <row r="1360" spans="1:26" ht="18" hidden="1" customHeight="1" x14ac:dyDescent="0.2">
      <c r="A1360" s="279">
        <f t="shared" si="1325"/>
        <v>44211</v>
      </c>
      <c r="B1360" s="278" t="s">
        <v>189</v>
      </c>
      <c r="C1360" s="48">
        <f t="shared" ref="C1360:C1362" si="1430">(V1361-V1360)*1+(W1361-W1360)*32+(X1361-X1360)*12+(Y1361-Y1360)*6</f>
        <v>0</v>
      </c>
      <c r="D1360" s="84">
        <f t="shared" si="1374"/>
        <v>0</v>
      </c>
      <c r="E1360" s="45">
        <f t="shared" ref="E1360:E1362" si="1431">(S1361-S1360)*80</f>
        <v>0</v>
      </c>
      <c r="F1360" s="45">
        <f t="shared" ref="F1360:F1362" si="1432">(Z1361-Z1360)*1</f>
        <v>0</v>
      </c>
      <c r="G1360" s="79">
        <f t="shared" ref="G1360:G1362" si="1433">C1360+D1360+F1360+E1360</f>
        <v>0</v>
      </c>
      <c r="H1360" s="199">
        <v>2846</v>
      </c>
      <c r="I1360" s="199">
        <v>784</v>
      </c>
      <c r="J1360" s="200">
        <f t="shared" si="1388"/>
        <v>3630</v>
      </c>
      <c r="K1360" s="201">
        <f t="shared" si="1389"/>
        <v>3630</v>
      </c>
      <c r="L1360" s="276">
        <v>86</v>
      </c>
      <c r="M1360" s="249">
        <v>0.4375</v>
      </c>
      <c r="N1360" s="235">
        <v>213427</v>
      </c>
      <c r="O1360" s="235">
        <v>108037</v>
      </c>
      <c r="P1360" s="235">
        <v>11047</v>
      </c>
      <c r="Q1360" s="235"/>
      <c r="R1360" s="235">
        <v>45701</v>
      </c>
      <c r="S1360" s="236">
        <v>22.8</v>
      </c>
      <c r="T1360" s="236"/>
      <c r="U1360" s="236"/>
      <c r="V1360" s="235">
        <v>310272</v>
      </c>
      <c r="W1360" s="235">
        <v>128391</v>
      </c>
      <c r="X1360" s="235">
        <v>111377</v>
      </c>
      <c r="Y1360" s="235">
        <v>92778</v>
      </c>
      <c r="Z1360" s="235">
        <v>212704</v>
      </c>
    </row>
    <row r="1361" spans="1:26" ht="18" hidden="1" customHeight="1" x14ac:dyDescent="0.2">
      <c r="A1361" s="279">
        <f t="shared" si="1325"/>
        <v>44212</v>
      </c>
      <c r="B1361" s="279" t="s">
        <v>195</v>
      </c>
      <c r="C1361" s="48">
        <f t="shared" si="1430"/>
        <v>0</v>
      </c>
      <c r="D1361" s="84">
        <f t="shared" si="1374"/>
        <v>0</v>
      </c>
      <c r="E1361" s="45">
        <f t="shared" si="1431"/>
        <v>0</v>
      </c>
      <c r="F1361" s="45">
        <f t="shared" si="1432"/>
        <v>0</v>
      </c>
      <c r="G1361" s="79">
        <f t="shared" si="1433"/>
        <v>0</v>
      </c>
      <c r="H1361" s="199">
        <v>0</v>
      </c>
      <c r="I1361" s="199">
        <f>1088+669</f>
        <v>1757</v>
      </c>
      <c r="J1361" s="200">
        <f t="shared" si="1388"/>
        <v>1757</v>
      </c>
      <c r="K1361" s="201">
        <f t="shared" si="1389"/>
        <v>1757</v>
      </c>
      <c r="L1361" s="276">
        <v>86</v>
      </c>
      <c r="M1361" s="249">
        <v>0.38541666666666669</v>
      </c>
      <c r="N1361" s="153">
        <v>213427</v>
      </c>
      <c r="O1361" s="153">
        <v>108037</v>
      </c>
      <c r="P1361" s="153">
        <v>11047</v>
      </c>
      <c r="Q1361" s="153"/>
      <c r="R1361" s="153">
        <v>45701</v>
      </c>
      <c r="S1361" s="154">
        <v>22.8</v>
      </c>
      <c r="T1361" s="154"/>
      <c r="U1361" s="154"/>
      <c r="V1361" s="153">
        <v>310272</v>
      </c>
      <c r="W1361" s="153">
        <v>128391</v>
      </c>
      <c r="X1361" s="153">
        <v>111377</v>
      </c>
      <c r="Y1361" s="153">
        <v>92778</v>
      </c>
      <c r="Z1361" s="153">
        <v>212704</v>
      </c>
    </row>
    <row r="1362" spans="1:26" ht="18" hidden="1" customHeight="1" x14ac:dyDescent="0.2">
      <c r="A1362" s="279">
        <f t="shared" si="1325"/>
        <v>44213</v>
      </c>
      <c r="B1362" s="278" t="s">
        <v>190</v>
      </c>
      <c r="C1362" s="48">
        <f t="shared" si="1430"/>
        <v>2966</v>
      </c>
      <c r="D1362" s="84">
        <f t="shared" si="1374"/>
        <v>2987</v>
      </c>
      <c r="E1362" s="45">
        <f t="shared" si="1431"/>
        <v>231.99999999999989</v>
      </c>
      <c r="F1362" s="45">
        <f t="shared" si="1432"/>
        <v>421</v>
      </c>
      <c r="G1362" s="79">
        <f t="shared" si="1433"/>
        <v>6606</v>
      </c>
      <c r="H1362" s="199">
        <v>0</v>
      </c>
      <c r="I1362" s="199">
        <v>1731</v>
      </c>
      <c r="J1362" s="200">
        <f t="shared" si="1388"/>
        <v>1731</v>
      </c>
      <c r="K1362" s="201">
        <f t="shared" si="1389"/>
        <v>-4875</v>
      </c>
      <c r="L1362" s="276">
        <v>255</v>
      </c>
      <c r="M1362" s="249">
        <v>0.52083333333333337</v>
      </c>
      <c r="N1362" s="153">
        <v>213427</v>
      </c>
      <c r="O1362" s="153">
        <v>108037</v>
      </c>
      <c r="P1362" s="153">
        <v>11047</v>
      </c>
      <c r="Q1362" s="153"/>
      <c r="R1362" s="153">
        <v>45701</v>
      </c>
      <c r="S1362" s="154">
        <v>22.8</v>
      </c>
      <c r="T1362" s="154"/>
      <c r="U1362" s="154"/>
      <c r="V1362" s="153">
        <v>310272</v>
      </c>
      <c r="W1362" s="153">
        <v>128391</v>
      </c>
      <c r="X1362" s="153">
        <v>111377</v>
      </c>
      <c r="Y1362" s="153">
        <v>92778</v>
      </c>
      <c r="Z1362" s="153">
        <v>212704</v>
      </c>
    </row>
    <row r="1363" spans="1:26" ht="18" hidden="1" customHeight="1" x14ac:dyDescent="0.2">
      <c r="A1363" s="279">
        <f t="shared" si="1325"/>
        <v>44214</v>
      </c>
      <c r="B1363" s="280" t="s">
        <v>191</v>
      </c>
      <c r="C1363" s="48">
        <f t="shared" ref="C1363" si="1434">(V1364-V1363)*1+(W1364-W1363)*32+(X1364-X1363)*12+(Y1364-Y1363)*6</f>
        <v>2303</v>
      </c>
      <c r="D1363" s="84">
        <f t="shared" si="1374"/>
        <v>969</v>
      </c>
      <c r="E1363" s="45">
        <f t="shared" ref="E1363" si="1435">(S1364-S1363)*80</f>
        <v>88.000000000000114</v>
      </c>
      <c r="F1363" s="45">
        <f t="shared" ref="F1363" si="1436">(Z1364-Z1363)*1</f>
        <v>167</v>
      </c>
      <c r="G1363" s="79">
        <f t="shared" ref="G1363" si="1437">C1363+D1363+F1363+E1363</f>
        <v>3527</v>
      </c>
      <c r="H1363" s="199">
        <v>2943</v>
      </c>
      <c r="I1363" s="199">
        <v>723</v>
      </c>
      <c r="J1363" s="200">
        <f t="shared" si="1388"/>
        <v>3666</v>
      </c>
      <c r="K1363" s="201">
        <f t="shared" si="1389"/>
        <v>139</v>
      </c>
      <c r="L1363" s="276">
        <v>251</v>
      </c>
      <c r="M1363" s="249">
        <v>0.40625</v>
      </c>
      <c r="N1363" s="235">
        <v>213797</v>
      </c>
      <c r="O1363" s="235">
        <v>108178</v>
      </c>
      <c r="P1363" s="235">
        <v>11047</v>
      </c>
      <c r="Q1363" s="235"/>
      <c r="R1363" s="235">
        <v>45728</v>
      </c>
      <c r="S1363" s="236">
        <v>25.7</v>
      </c>
      <c r="T1363" s="236"/>
      <c r="U1363" s="236"/>
      <c r="V1363" s="235">
        <v>310686</v>
      </c>
      <c r="W1363" s="235">
        <v>128440</v>
      </c>
      <c r="X1363" s="235">
        <v>111459</v>
      </c>
      <c r="Y1363" s="235">
        <v>92778</v>
      </c>
      <c r="Z1363" s="235">
        <v>213125</v>
      </c>
    </row>
    <row r="1364" spans="1:26" ht="18" hidden="1" customHeight="1" x14ac:dyDescent="0.2">
      <c r="A1364" s="279">
        <f t="shared" si="1325"/>
        <v>44215</v>
      </c>
      <c r="B1364" s="280" t="s">
        <v>192</v>
      </c>
      <c r="C1364" s="48">
        <f t="shared" ref="C1364" si="1438">(V1365-V1364)*1+(W1365-W1364)*32+(X1365-X1364)*12+(Y1365-Y1364)*6</f>
        <v>2279</v>
      </c>
      <c r="D1364" s="84">
        <f t="shared" si="1374"/>
        <v>1049</v>
      </c>
      <c r="E1364" s="45">
        <f t="shared" ref="E1364" si="1439">(S1365-S1364)*80</f>
        <v>135.99999999999994</v>
      </c>
      <c r="F1364" s="45">
        <f t="shared" ref="F1364" si="1440">(Z1365-Z1364)*1</f>
        <v>102</v>
      </c>
      <c r="G1364" s="79">
        <f t="shared" ref="G1364" si="1441">C1364+D1364+F1364+E1364</f>
        <v>3566</v>
      </c>
      <c r="H1364" s="199">
        <v>2910</v>
      </c>
      <c r="I1364" s="199">
        <v>792</v>
      </c>
      <c r="J1364" s="200">
        <f t="shared" si="1388"/>
        <v>3702</v>
      </c>
      <c r="K1364" s="201">
        <f t="shared" si="1389"/>
        <v>136</v>
      </c>
      <c r="L1364" s="276">
        <v>230</v>
      </c>
      <c r="M1364" s="249">
        <v>0.39583333333333331</v>
      </c>
      <c r="N1364" s="235">
        <v>213917</v>
      </c>
      <c r="O1364" s="235">
        <v>108224</v>
      </c>
      <c r="P1364" s="235">
        <v>11047</v>
      </c>
      <c r="Q1364" s="235"/>
      <c r="R1364" s="235">
        <v>45737</v>
      </c>
      <c r="S1364" s="236">
        <v>26.8</v>
      </c>
      <c r="T1364" s="236"/>
      <c r="U1364" s="236"/>
      <c r="V1364" s="235">
        <v>310873</v>
      </c>
      <c r="W1364" s="235">
        <v>128472</v>
      </c>
      <c r="X1364" s="235">
        <v>111550</v>
      </c>
      <c r="Y1364" s="235">
        <v>92778</v>
      </c>
      <c r="Z1364" s="235">
        <v>213292</v>
      </c>
    </row>
    <row r="1365" spans="1:26" ht="18" hidden="1" customHeight="1" x14ac:dyDescent="0.2">
      <c r="A1365" s="279">
        <f t="shared" si="1325"/>
        <v>44216</v>
      </c>
      <c r="B1365" s="280" t="s">
        <v>193</v>
      </c>
      <c r="C1365" s="48">
        <f t="shared" ref="C1365" si="1442">(V1366-V1365)*1+(W1366-W1365)*32+(X1366-X1365)*12+(Y1366-Y1365)*6</f>
        <v>2045</v>
      </c>
      <c r="D1365" s="84">
        <f t="shared" si="1374"/>
        <v>1132</v>
      </c>
      <c r="E1365" s="45">
        <f t="shared" ref="E1365" si="1443">(S1366-S1365)*80</f>
        <v>111.99999999999989</v>
      </c>
      <c r="F1365" s="45">
        <f t="shared" ref="F1365" si="1444">(Z1366-Z1365)*1</f>
        <v>99</v>
      </c>
      <c r="G1365" s="79">
        <f t="shared" ref="G1365" si="1445">C1365+D1365+F1365+E1365</f>
        <v>3388</v>
      </c>
      <c r="H1365" s="199">
        <v>2800</v>
      </c>
      <c r="I1365" s="199">
        <v>806</v>
      </c>
      <c r="J1365" s="200">
        <f t="shared" si="1388"/>
        <v>3606</v>
      </c>
      <c r="K1365" s="201">
        <f t="shared" si="1389"/>
        <v>218</v>
      </c>
      <c r="L1365" s="276">
        <v>230</v>
      </c>
      <c r="M1365" s="249">
        <v>0.4375</v>
      </c>
      <c r="N1365" s="235">
        <v>214047</v>
      </c>
      <c r="O1365" s="235">
        <v>108272</v>
      </c>
      <c r="P1365" s="235">
        <v>11047</v>
      </c>
      <c r="Q1365" s="235"/>
      <c r="R1365" s="235">
        <v>45746</v>
      </c>
      <c r="S1365" s="236">
        <v>28.5</v>
      </c>
      <c r="T1365" s="236"/>
      <c r="U1365" s="236"/>
      <c r="V1365" s="235">
        <v>311036</v>
      </c>
      <c r="W1365" s="235">
        <v>128504</v>
      </c>
      <c r="X1365" s="235">
        <v>111641</v>
      </c>
      <c r="Y1365" s="235">
        <v>92778</v>
      </c>
      <c r="Z1365" s="235">
        <v>213394</v>
      </c>
    </row>
    <row r="1366" spans="1:26" ht="18" hidden="1" customHeight="1" x14ac:dyDescent="0.2">
      <c r="A1366" s="279">
        <f t="shared" si="1325"/>
        <v>44217</v>
      </c>
      <c r="B1366" s="280" t="s">
        <v>194</v>
      </c>
      <c r="C1366" s="48">
        <f t="shared" ref="C1366" si="1446">(V1367-V1366)*1+(W1367-W1366)*32+(X1367-X1366)*12+(Y1367-Y1366)*6</f>
        <v>2249</v>
      </c>
      <c r="D1366" s="84">
        <f t="shared" si="1374"/>
        <v>1047</v>
      </c>
      <c r="E1366" s="45">
        <f t="shared" ref="E1366" si="1447">(S1367-S1366)*80</f>
        <v>64.000000000000057</v>
      </c>
      <c r="F1366" s="45">
        <f t="shared" ref="F1366" si="1448">(Z1367-Z1366)*1</f>
        <v>115</v>
      </c>
      <c r="G1366" s="79">
        <f t="shared" ref="G1366" si="1449">C1366+D1366+F1366+E1366</f>
        <v>3475</v>
      </c>
      <c r="H1366" s="199">
        <v>2796</v>
      </c>
      <c r="I1366" s="199">
        <v>764</v>
      </c>
      <c r="J1366" s="200">
        <f t="shared" si="1388"/>
        <v>3560</v>
      </c>
      <c r="K1366" s="201">
        <f t="shared" si="1389"/>
        <v>85</v>
      </c>
      <c r="L1366" s="276">
        <v>240</v>
      </c>
      <c r="M1366" s="249">
        <v>0.39583333333333331</v>
      </c>
      <c r="N1366" s="235">
        <v>214187</v>
      </c>
      <c r="O1366" s="235">
        <v>108320</v>
      </c>
      <c r="P1366" s="235">
        <v>11047</v>
      </c>
      <c r="Q1366" s="235"/>
      <c r="R1366" s="235">
        <v>45758</v>
      </c>
      <c r="S1366" s="236">
        <v>29.9</v>
      </c>
      <c r="T1366" s="236"/>
      <c r="U1366" s="236"/>
      <c r="V1366" s="235">
        <v>311197</v>
      </c>
      <c r="W1366" s="235">
        <v>128537</v>
      </c>
      <c r="X1366" s="235">
        <v>111710</v>
      </c>
      <c r="Y1366" s="235">
        <v>92778</v>
      </c>
      <c r="Z1366" s="235">
        <v>213493</v>
      </c>
    </row>
    <row r="1367" spans="1:26" ht="18" hidden="1" customHeight="1" x14ac:dyDescent="0.2">
      <c r="A1367" s="279">
        <f t="shared" si="1325"/>
        <v>44218</v>
      </c>
      <c r="B1367" s="278" t="s">
        <v>189</v>
      </c>
      <c r="C1367" s="48">
        <f t="shared" ref="C1367:C1369" si="1450">(V1368-V1367)*1+(W1368-W1367)*32+(X1368-X1367)*12+(Y1368-Y1367)*6</f>
        <v>0</v>
      </c>
      <c r="D1367" s="84">
        <f t="shared" si="1374"/>
        <v>0</v>
      </c>
      <c r="E1367" s="45">
        <f t="shared" ref="E1367:E1369" si="1451">(S1368-S1367)*80</f>
        <v>0</v>
      </c>
      <c r="F1367" s="45">
        <f t="shared" ref="F1367:F1369" si="1452">(Z1368-Z1367)*1</f>
        <v>0</v>
      </c>
      <c r="G1367" s="79">
        <f t="shared" ref="G1367:G1369" si="1453">C1367+D1367+F1367+E1367</f>
        <v>0</v>
      </c>
      <c r="H1367" s="199">
        <v>2747</v>
      </c>
      <c r="I1367" s="199">
        <v>745</v>
      </c>
      <c r="J1367" s="200">
        <f t="shared" si="1388"/>
        <v>3492</v>
      </c>
      <c r="K1367" s="201">
        <f t="shared" si="1389"/>
        <v>3492</v>
      </c>
      <c r="L1367" s="276">
        <v>244</v>
      </c>
      <c r="M1367" s="249">
        <v>0.38541666666666669</v>
      </c>
      <c r="N1367" s="235">
        <v>214317</v>
      </c>
      <c r="O1367" s="235">
        <v>108371</v>
      </c>
      <c r="P1367" s="235">
        <v>11047</v>
      </c>
      <c r="Q1367" s="235"/>
      <c r="R1367" s="235">
        <v>45765</v>
      </c>
      <c r="S1367" s="236">
        <v>30.7</v>
      </c>
      <c r="T1367" s="236"/>
      <c r="U1367" s="236"/>
      <c r="V1367" s="235">
        <v>311362</v>
      </c>
      <c r="W1367" s="235">
        <v>128571</v>
      </c>
      <c r="X1367" s="235">
        <v>111793</v>
      </c>
      <c r="Y1367" s="235">
        <v>92778</v>
      </c>
      <c r="Z1367" s="235">
        <v>213608</v>
      </c>
    </row>
    <row r="1368" spans="1:26" ht="18" hidden="1" customHeight="1" x14ac:dyDescent="0.2">
      <c r="A1368" s="279">
        <f t="shared" si="1325"/>
        <v>44219</v>
      </c>
      <c r="B1368" s="279" t="s">
        <v>195</v>
      </c>
      <c r="C1368" s="48">
        <f t="shared" si="1450"/>
        <v>0</v>
      </c>
      <c r="D1368" s="84">
        <f t="shared" si="1374"/>
        <v>0</v>
      </c>
      <c r="E1368" s="45">
        <f t="shared" si="1451"/>
        <v>0</v>
      </c>
      <c r="F1368" s="45">
        <f t="shared" si="1452"/>
        <v>0</v>
      </c>
      <c r="G1368" s="79">
        <f t="shared" si="1453"/>
        <v>0</v>
      </c>
      <c r="H1368" s="199">
        <v>0</v>
      </c>
      <c r="I1368" s="199">
        <v>634</v>
      </c>
      <c r="J1368" s="200">
        <f t="shared" si="1388"/>
        <v>634</v>
      </c>
      <c r="K1368" s="201">
        <f t="shared" si="1389"/>
        <v>634</v>
      </c>
      <c r="L1368" s="276">
        <v>85</v>
      </c>
      <c r="M1368" s="276">
        <v>23</v>
      </c>
      <c r="N1368" s="153">
        <v>214317</v>
      </c>
      <c r="O1368" s="153">
        <v>108371</v>
      </c>
      <c r="P1368" s="153">
        <v>11047</v>
      </c>
      <c r="Q1368" s="153"/>
      <c r="R1368" s="153">
        <v>45765</v>
      </c>
      <c r="S1368" s="154">
        <v>30.7</v>
      </c>
      <c r="T1368" s="154"/>
      <c r="U1368" s="154"/>
      <c r="V1368" s="153">
        <v>311362</v>
      </c>
      <c r="W1368" s="153">
        <v>128571</v>
      </c>
      <c r="X1368" s="153">
        <v>111793</v>
      </c>
      <c r="Y1368" s="153">
        <v>92778</v>
      </c>
      <c r="Z1368" s="153">
        <v>213608</v>
      </c>
    </row>
    <row r="1369" spans="1:26" ht="18" hidden="1" customHeight="1" x14ac:dyDescent="0.2">
      <c r="A1369" s="279">
        <f t="shared" si="1325"/>
        <v>44220</v>
      </c>
      <c r="B1369" s="278" t="s">
        <v>190</v>
      </c>
      <c r="C1369" s="48">
        <f t="shared" si="1450"/>
        <v>2909</v>
      </c>
      <c r="D1369" s="84">
        <f t="shared" si="1374"/>
        <v>2988</v>
      </c>
      <c r="E1369" s="45">
        <f t="shared" si="1451"/>
        <v>280.00000000000028</v>
      </c>
      <c r="F1369" s="45">
        <f t="shared" si="1452"/>
        <v>340</v>
      </c>
      <c r="G1369" s="79">
        <f t="shared" si="1453"/>
        <v>6517</v>
      </c>
      <c r="H1369" s="199">
        <v>0</v>
      </c>
      <c r="I1369" s="199">
        <v>1763</v>
      </c>
      <c r="J1369" s="200">
        <f t="shared" si="1388"/>
        <v>1763</v>
      </c>
      <c r="K1369" s="201">
        <f t="shared" si="1389"/>
        <v>-4754</v>
      </c>
      <c r="L1369" s="276">
        <v>88</v>
      </c>
      <c r="M1369" s="249">
        <v>0.90625</v>
      </c>
      <c r="N1369" s="153">
        <v>214317</v>
      </c>
      <c r="O1369" s="153">
        <v>108371</v>
      </c>
      <c r="P1369" s="153">
        <v>11047</v>
      </c>
      <c r="Q1369" s="153"/>
      <c r="R1369" s="153">
        <v>45765</v>
      </c>
      <c r="S1369" s="154">
        <v>30.7</v>
      </c>
      <c r="T1369" s="154"/>
      <c r="U1369" s="154"/>
      <c r="V1369" s="153">
        <v>311362</v>
      </c>
      <c r="W1369" s="153">
        <v>128571</v>
      </c>
      <c r="X1369" s="153">
        <v>111793</v>
      </c>
      <c r="Y1369" s="153">
        <v>92778</v>
      </c>
      <c r="Z1369" s="153">
        <v>213608</v>
      </c>
    </row>
    <row r="1370" spans="1:26" ht="18" hidden="1" customHeight="1" x14ac:dyDescent="0.2">
      <c r="A1370" s="279">
        <f t="shared" si="1325"/>
        <v>44221</v>
      </c>
      <c r="B1370" s="280" t="s">
        <v>191</v>
      </c>
      <c r="C1370" s="48">
        <f t="shared" ref="C1370" si="1454">(V1371-V1370)*1+(W1371-W1370)*32+(X1371-X1370)*12+(Y1371-Y1370)*6</f>
        <v>2134</v>
      </c>
      <c r="D1370" s="84">
        <f t="shared" si="1374"/>
        <v>1073</v>
      </c>
      <c r="E1370" s="45">
        <f t="shared" ref="E1370" si="1455">(S1371-S1370)*80</f>
        <v>103.99999999999977</v>
      </c>
      <c r="F1370" s="45">
        <f t="shared" ref="F1370" si="1456">(Z1371-Z1370)*1</f>
        <v>122</v>
      </c>
      <c r="G1370" s="79">
        <f t="shared" ref="G1370" si="1457">C1370+D1370+F1370+E1370</f>
        <v>3433</v>
      </c>
      <c r="H1370" s="199">
        <v>2862</v>
      </c>
      <c r="I1370" s="199">
        <v>737</v>
      </c>
      <c r="J1370" s="200">
        <f t="shared" si="1388"/>
        <v>3599</v>
      </c>
      <c r="K1370" s="201">
        <f t="shared" si="1389"/>
        <v>166</v>
      </c>
      <c r="L1370" s="276">
        <v>264</v>
      </c>
      <c r="M1370" s="249">
        <v>0.60416666666666663</v>
      </c>
      <c r="N1370" s="235">
        <v>214687</v>
      </c>
      <c r="O1370" s="235">
        <v>108508</v>
      </c>
      <c r="P1370" s="235">
        <v>11047</v>
      </c>
      <c r="Q1370" s="235"/>
      <c r="R1370" s="235">
        <v>45793</v>
      </c>
      <c r="S1370" s="236">
        <v>34.200000000000003</v>
      </c>
      <c r="T1370" s="236"/>
      <c r="U1370" s="236"/>
      <c r="V1370" s="235">
        <v>311803</v>
      </c>
      <c r="W1370" s="235">
        <v>128623</v>
      </c>
      <c r="X1370" s="235">
        <v>111860</v>
      </c>
      <c r="Y1370" s="235">
        <v>92778</v>
      </c>
      <c r="Z1370" s="235">
        <v>213948</v>
      </c>
    </row>
    <row r="1371" spans="1:26" ht="18" hidden="1" customHeight="1" x14ac:dyDescent="0.2">
      <c r="A1371" s="279">
        <f t="shared" si="1325"/>
        <v>44222</v>
      </c>
      <c r="B1371" s="280" t="s">
        <v>192</v>
      </c>
      <c r="C1371" s="48">
        <f t="shared" ref="C1371" si="1458">(V1372-V1371)*1+(W1372-W1371)*32+(X1372-X1371)*12+(Y1372-Y1371)*6</f>
        <v>1941</v>
      </c>
      <c r="D1371" s="84">
        <f t="shared" si="1374"/>
        <v>1851</v>
      </c>
      <c r="E1371" s="45">
        <f t="shared" ref="E1371" si="1459">(S1372-S1371)*80</f>
        <v>96.000000000000227</v>
      </c>
      <c r="F1371" s="45">
        <f t="shared" ref="F1371" si="1460">(Z1372-Z1371)*1</f>
        <v>108</v>
      </c>
      <c r="G1371" s="79">
        <f t="shared" ref="G1371" si="1461">C1371+D1371+F1371+E1371</f>
        <v>3996</v>
      </c>
      <c r="H1371" s="199">
        <v>2695</v>
      </c>
      <c r="I1371" s="199">
        <v>762</v>
      </c>
      <c r="J1371" s="200">
        <f t="shared" si="1388"/>
        <v>3457</v>
      </c>
      <c r="K1371" s="201">
        <f t="shared" si="1389"/>
        <v>-539</v>
      </c>
      <c r="L1371" s="276">
        <v>246</v>
      </c>
      <c r="M1371" s="249">
        <v>0.42708333333333331</v>
      </c>
      <c r="N1371" s="235">
        <v>214817</v>
      </c>
      <c r="O1371" s="235">
        <v>108561</v>
      </c>
      <c r="P1371" s="235">
        <v>11047</v>
      </c>
      <c r="Q1371" s="235"/>
      <c r="R1371" s="235">
        <v>45826</v>
      </c>
      <c r="S1371" s="236">
        <v>35.5</v>
      </c>
      <c r="T1371" s="236"/>
      <c r="U1371" s="236"/>
      <c r="V1371" s="235">
        <v>311981</v>
      </c>
      <c r="W1371" s="235">
        <v>128656</v>
      </c>
      <c r="X1371" s="235">
        <v>111935</v>
      </c>
      <c r="Y1371" s="235">
        <v>92778</v>
      </c>
      <c r="Z1371" s="235">
        <v>214070</v>
      </c>
    </row>
    <row r="1372" spans="1:26" ht="18" hidden="1" customHeight="1" x14ac:dyDescent="0.2">
      <c r="A1372" s="279">
        <f t="shared" si="1325"/>
        <v>44223</v>
      </c>
      <c r="B1372" s="280" t="s">
        <v>193</v>
      </c>
      <c r="C1372" s="48">
        <f t="shared" ref="C1372" si="1462">(V1373-V1372)*1+(W1373-W1372)*32+(X1373-X1372)*12+(Y1373-Y1372)*6</f>
        <v>2125</v>
      </c>
      <c r="D1372" s="84">
        <f t="shared" si="1374"/>
        <v>342</v>
      </c>
      <c r="E1372" s="45">
        <f t="shared" ref="E1372" si="1463">(S1373-S1372)*80</f>
        <v>127.99999999999955</v>
      </c>
      <c r="F1372" s="45">
        <f t="shared" ref="F1372" si="1464">(Z1373-Z1372)*1</f>
        <v>127</v>
      </c>
      <c r="G1372" s="79">
        <f t="shared" ref="G1372" si="1465">C1372+D1372+F1372+E1372</f>
        <v>2721.9999999999995</v>
      </c>
      <c r="H1372" s="199">
        <v>2852</v>
      </c>
      <c r="I1372" s="199">
        <v>767</v>
      </c>
      <c r="J1372" s="200">
        <f t="shared" si="1388"/>
        <v>3619</v>
      </c>
      <c r="K1372" s="201">
        <f t="shared" si="1389"/>
        <v>897.00000000000045</v>
      </c>
      <c r="L1372" s="276">
        <v>253</v>
      </c>
      <c r="M1372" s="249">
        <v>0.59375</v>
      </c>
      <c r="N1372" s="235">
        <v>215047</v>
      </c>
      <c r="O1372" s="235">
        <v>108612</v>
      </c>
      <c r="P1372" s="235">
        <v>11047</v>
      </c>
      <c r="Q1372" s="235"/>
      <c r="R1372" s="235">
        <v>45837</v>
      </c>
      <c r="S1372" s="236">
        <v>36.700000000000003</v>
      </c>
      <c r="T1372" s="236"/>
      <c r="U1372" s="236"/>
      <c r="V1372" s="235">
        <v>312150</v>
      </c>
      <c r="W1372" s="235">
        <v>128687</v>
      </c>
      <c r="X1372" s="235">
        <v>112000</v>
      </c>
      <c r="Y1372" s="235">
        <v>92778</v>
      </c>
      <c r="Z1372" s="235">
        <v>214178</v>
      </c>
    </row>
    <row r="1373" spans="1:26" ht="18" hidden="1" customHeight="1" x14ac:dyDescent="0.2">
      <c r="A1373" s="279">
        <f t="shared" si="1325"/>
        <v>44224</v>
      </c>
      <c r="B1373" s="280" t="s">
        <v>194</v>
      </c>
      <c r="C1373" s="48">
        <f t="shared" ref="C1373" si="1466">(V1374-V1373)*1+(W1374-W1373)*32+(X1374-X1373)*12+(Y1374-Y1373)*6</f>
        <v>1989</v>
      </c>
      <c r="D1373" s="84">
        <f t="shared" si="1374"/>
        <v>1050</v>
      </c>
      <c r="E1373" s="45">
        <f t="shared" ref="E1373" si="1467">(S1374-S1373)*80</f>
        <v>112.00000000000045</v>
      </c>
      <c r="F1373" s="45">
        <f t="shared" ref="F1373" si="1468">(Z1374-Z1373)*1</f>
        <v>141</v>
      </c>
      <c r="G1373" s="79">
        <f t="shared" ref="G1373" si="1469">C1373+D1373+F1373+E1373</f>
        <v>3292.0000000000005</v>
      </c>
      <c r="H1373" s="199">
        <v>2710</v>
      </c>
      <c r="I1373" s="199">
        <v>767</v>
      </c>
      <c r="J1373" s="200">
        <f t="shared" si="1388"/>
        <v>3477</v>
      </c>
      <c r="K1373" s="201">
        <f t="shared" si="1389"/>
        <v>184.99999999999955</v>
      </c>
      <c r="L1373" s="276">
        <v>253</v>
      </c>
      <c r="M1373" s="249">
        <v>0.40625</v>
      </c>
      <c r="N1373" s="235">
        <v>215087</v>
      </c>
      <c r="O1373" s="235">
        <v>108663</v>
      </c>
      <c r="P1373" s="235">
        <v>11047</v>
      </c>
      <c r="Q1373" s="235"/>
      <c r="R1373" s="235">
        <v>45859</v>
      </c>
      <c r="S1373" s="236">
        <v>38.299999999999997</v>
      </c>
      <c r="T1373" s="236"/>
      <c r="U1373" s="236"/>
      <c r="V1373" s="235">
        <v>312319</v>
      </c>
      <c r="W1373" s="235">
        <v>128720</v>
      </c>
      <c r="X1373" s="235">
        <v>112075</v>
      </c>
      <c r="Y1373" s="235">
        <v>92778</v>
      </c>
      <c r="Z1373" s="235">
        <v>214305</v>
      </c>
    </row>
    <row r="1374" spans="1:26" ht="18" hidden="1" customHeight="1" x14ac:dyDescent="0.2">
      <c r="A1374" s="279">
        <f t="shared" si="1325"/>
        <v>44225</v>
      </c>
      <c r="B1374" s="278" t="s">
        <v>189</v>
      </c>
      <c r="C1374" s="48">
        <f t="shared" ref="C1374:C1376" si="1470">(V1375-V1374)*1+(W1375-W1374)*32+(X1375-X1374)*12+(Y1375-Y1374)*6</f>
        <v>0</v>
      </c>
      <c r="D1374" s="84">
        <f t="shared" si="1374"/>
        <v>0</v>
      </c>
      <c r="E1374" s="45">
        <f t="shared" ref="E1374:E1376" si="1471">(S1375-S1374)*80</f>
        <v>0</v>
      </c>
      <c r="F1374" s="45">
        <f t="shared" ref="F1374:F1376" si="1472">(Z1375-Z1374)*1</f>
        <v>0</v>
      </c>
      <c r="G1374" s="79">
        <f t="shared" ref="G1374:G1376" si="1473">C1374+D1374+F1374+E1374</f>
        <v>0</v>
      </c>
      <c r="H1374" s="199">
        <v>2517</v>
      </c>
      <c r="I1374" s="199">
        <v>753</v>
      </c>
      <c r="J1374" s="200">
        <f t="shared" si="1388"/>
        <v>3270</v>
      </c>
      <c r="K1374" s="201">
        <f t="shared" si="1389"/>
        <v>3270</v>
      </c>
      <c r="L1374" s="276">
        <v>247</v>
      </c>
      <c r="M1374" s="249">
        <v>0.39583333333333331</v>
      </c>
      <c r="N1374" s="235">
        <v>215217</v>
      </c>
      <c r="O1374" s="235">
        <v>108714</v>
      </c>
      <c r="P1374" s="235">
        <v>11047</v>
      </c>
      <c r="Q1374" s="235"/>
      <c r="R1374" s="235">
        <v>45869</v>
      </c>
      <c r="S1374" s="236">
        <v>39.700000000000003</v>
      </c>
      <c r="T1374" s="236"/>
      <c r="U1374" s="236"/>
      <c r="V1374" s="235">
        <v>312492</v>
      </c>
      <c r="W1374" s="235">
        <v>128749</v>
      </c>
      <c r="X1374" s="235">
        <v>112149</v>
      </c>
      <c r="Y1374" s="235">
        <v>92778</v>
      </c>
      <c r="Z1374" s="235">
        <v>214446</v>
      </c>
    </row>
    <row r="1375" spans="1:26" ht="18" hidden="1" customHeight="1" x14ac:dyDescent="0.2">
      <c r="A1375" s="279">
        <f t="shared" si="1325"/>
        <v>44226</v>
      </c>
      <c r="B1375" s="279" t="s">
        <v>195</v>
      </c>
      <c r="C1375" s="48">
        <f t="shared" si="1470"/>
        <v>0</v>
      </c>
      <c r="D1375" s="84">
        <f t="shared" si="1374"/>
        <v>0</v>
      </c>
      <c r="E1375" s="45">
        <f t="shared" si="1471"/>
        <v>0</v>
      </c>
      <c r="F1375" s="45">
        <f t="shared" si="1472"/>
        <v>0</v>
      </c>
      <c r="G1375" s="79">
        <f t="shared" si="1473"/>
        <v>0</v>
      </c>
      <c r="H1375" s="199">
        <v>0</v>
      </c>
      <c r="I1375" s="199">
        <v>599</v>
      </c>
      <c r="J1375" s="200">
        <f t="shared" si="1388"/>
        <v>599</v>
      </c>
      <c r="K1375" s="201">
        <f t="shared" si="1389"/>
        <v>599</v>
      </c>
      <c r="L1375" s="276">
        <v>83</v>
      </c>
      <c r="M1375" s="249">
        <v>0.97916666666666663</v>
      </c>
      <c r="N1375" s="153">
        <v>215217</v>
      </c>
      <c r="O1375" s="153">
        <v>108714</v>
      </c>
      <c r="P1375" s="153">
        <v>11047</v>
      </c>
      <c r="Q1375" s="153"/>
      <c r="R1375" s="153">
        <v>45869</v>
      </c>
      <c r="S1375" s="154">
        <v>39.700000000000003</v>
      </c>
      <c r="T1375" s="154"/>
      <c r="U1375" s="154"/>
      <c r="V1375" s="153">
        <v>312492</v>
      </c>
      <c r="W1375" s="153">
        <v>128749</v>
      </c>
      <c r="X1375" s="153">
        <v>112149</v>
      </c>
      <c r="Y1375" s="153">
        <v>92778</v>
      </c>
      <c r="Z1375" s="153">
        <v>214446</v>
      </c>
    </row>
    <row r="1376" spans="1:26" ht="18" hidden="1" customHeight="1" x14ac:dyDescent="0.2">
      <c r="A1376" s="279">
        <f t="shared" si="1325"/>
        <v>44227</v>
      </c>
      <c r="B1376" s="278" t="s">
        <v>190</v>
      </c>
      <c r="C1376" s="48">
        <f t="shared" si="1470"/>
        <v>2650</v>
      </c>
      <c r="D1376" s="84">
        <f t="shared" si="1374"/>
        <v>2671</v>
      </c>
      <c r="E1376" s="45">
        <f t="shared" si="1471"/>
        <v>847.99999999999955</v>
      </c>
      <c r="F1376" s="45">
        <f t="shared" si="1472"/>
        <v>239</v>
      </c>
      <c r="G1376" s="79">
        <f t="shared" si="1473"/>
        <v>6408</v>
      </c>
      <c r="H1376" s="199">
        <v>0</v>
      </c>
      <c r="I1376" s="199">
        <v>2066</v>
      </c>
      <c r="J1376" s="200">
        <f t="shared" si="1388"/>
        <v>2066</v>
      </c>
      <c r="K1376" s="201">
        <f t="shared" si="1389"/>
        <v>-4342</v>
      </c>
      <c r="L1376" s="276">
        <v>129</v>
      </c>
      <c r="M1376" s="249">
        <v>0.46875</v>
      </c>
      <c r="N1376" s="153">
        <v>215217</v>
      </c>
      <c r="O1376" s="153">
        <v>108714</v>
      </c>
      <c r="P1376" s="153">
        <v>11047</v>
      </c>
      <c r="Q1376" s="153"/>
      <c r="R1376" s="153">
        <v>45869</v>
      </c>
      <c r="S1376" s="154">
        <v>39.700000000000003</v>
      </c>
      <c r="T1376" s="154"/>
      <c r="U1376" s="154"/>
      <c r="V1376" s="153">
        <v>312492</v>
      </c>
      <c r="W1376" s="153">
        <v>128749</v>
      </c>
      <c r="X1376" s="153">
        <v>112149</v>
      </c>
      <c r="Y1376" s="153">
        <v>92778</v>
      </c>
      <c r="Z1376" s="153">
        <v>214446</v>
      </c>
    </row>
    <row r="1377" spans="1:26" ht="18" hidden="1" customHeight="1" x14ac:dyDescent="0.2">
      <c r="A1377" s="279">
        <f t="shared" si="1325"/>
        <v>44228</v>
      </c>
      <c r="B1377" s="280" t="s">
        <v>191</v>
      </c>
      <c r="C1377" s="48">
        <f t="shared" ref="C1377" si="1474">(V1378-V1377)*1+(W1378-W1377)*32+(X1378-X1377)*12+(Y1378-Y1377)*6</f>
        <v>2170</v>
      </c>
      <c r="D1377" s="84">
        <f t="shared" si="1374"/>
        <v>1050</v>
      </c>
      <c r="E1377" s="45">
        <f t="shared" ref="E1377" si="1475">(S1378-S1377)*80</f>
        <v>728.00000000000011</v>
      </c>
      <c r="F1377" s="45">
        <f t="shared" ref="F1377" si="1476">(Z1378-Z1377)*1</f>
        <v>96</v>
      </c>
      <c r="G1377" s="79">
        <f t="shared" ref="G1377" si="1477">C1377+D1377+F1377+E1377</f>
        <v>4044</v>
      </c>
      <c r="H1377" s="199">
        <v>3404</v>
      </c>
      <c r="I1377" s="199">
        <v>701</v>
      </c>
      <c r="J1377" s="200">
        <f t="shared" si="1388"/>
        <v>4105</v>
      </c>
      <c r="K1377" s="201">
        <f t="shared" si="1389"/>
        <v>61</v>
      </c>
      <c r="L1377" s="276">
        <v>308</v>
      </c>
      <c r="M1377" s="249">
        <v>0.63541666666666663</v>
      </c>
      <c r="N1377" s="235">
        <v>215547</v>
      </c>
      <c r="O1377" s="235">
        <v>108837</v>
      </c>
      <c r="P1377" s="235">
        <v>11047</v>
      </c>
      <c r="Q1377" s="235"/>
      <c r="R1377" s="235">
        <v>45900</v>
      </c>
      <c r="S1377" s="236">
        <v>50.3</v>
      </c>
      <c r="T1377" s="236"/>
      <c r="U1377" s="236"/>
      <c r="V1377" s="235">
        <v>312922</v>
      </c>
      <c r="W1377" s="235">
        <v>128794</v>
      </c>
      <c r="X1377" s="235">
        <v>112214</v>
      </c>
      <c r="Y1377" s="235">
        <v>92778</v>
      </c>
      <c r="Z1377" s="235">
        <v>214685</v>
      </c>
    </row>
    <row r="1378" spans="1:26" ht="18" hidden="1" customHeight="1" x14ac:dyDescent="0.2">
      <c r="A1378" s="279">
        <f t="shared" si="1325"/>
        <v>44229</v>
      </c>
      <c r="B1378" s="280" t="s">
        <v>192</v>
      </c>
      <c r="C1378" s="48">
        <f t="shared" ref="C1378" si="1478">(V1379-V1378)*1+(W1379-W1378)*32+(X1379-X1378)*12+(Y1379-Y1378)*6</f>
        <v>1685</v>
      </c>
      <c r="D1378" s="84">
        <f t="shared" si="1374"/>
        <v>982</v>
      </c>
      <c r="E1378" s="45">
        <f t="shared" ref="E1378" si="1479">(S1379-S1378)*80</f>
        <v>895.99999999999966</v>
      </c>
      <c r="F1378" s="45">
        <f t="shared" ref="F1378" si="1480">(Z1379-Z1378)*1</f>
        <v>131</v>
      </c>
      <c r="G1378" s="79">
        <f t="shared" ref="G1378" si="1481">C1378+D1378+F1378+E1378</f>
        <v>3693.9999999999995</v>
      </c>
      <c r="H1378" s="199">
        <v>3102</v>
      </c>
      <c r="I1378" s="199">
        <v>793</v>
      </c>
      <c r="J1378" s="200">
        <f t="shared" si="1388"/>
        <v>3895</v>
      </c>
      <c r="K1378" s="201">
        <f t="shared" si="1389"/>
        <v>201.00000000000045</v>
      </c>
      <c r="L1378" s="276">
        <v>319</v>
      </c>
      <c r="M1378" s="249">
        <v>0.42708333333333331</v>
      </c>
      <c r="N1378" s="235">
        <v>215677</v>
      </c>
      <c r="O1378" s="235">
        <v>108884</v>
      </c>
      <c r="P1378" s="235">
        <v>11047</v>
      </c>
      <c r="Q1378" s="235"/>
      <c r="R1378" s="235">
        <v>45910</v>
      </c>
      <c r="S1378" s="236">
        <v>59.4</v>
      </c>
      <c r="T1378" s="236"/>
      <c r="U1378" s="236"/>
      <c r="V1378" s="235">
        <v>313100</v>
      </c>
      <c r="W1378" s="235">
        <v>128827</v>
      </c>
      <c r="X1378" s="235">
        <v>112292</v>
      </c>
      <c r="Y1378" s="235">
        <v>92778</v>
      </c>
      <c r="Z1378" s="235">
        <v>214781</v>
      </c>
    </row>
    <row r="1379" spans="1:26" ht="18" hidden="1" customHeight="1" x14ac:dyDescent="0.2">
      <c r="A1379" s="279">
        <f t="shared" si="1325"/>
        <v>44230</v>
      </c>
      <c r="B1379" s="280" t="s">
        <v>193</v>
      </c>
      <c r="C1379" s="48">
        <f t="shared" ref="C1379" si="1482">(V1380-V1379)*1+(W1380-W1379)*32+(X1380-X1379)*12+(Y1380-Y1379)*6</f>
        <v>1754</v>
      </c>
      <c r="D1379" s="84">
        <f t="shared" si="1374"/>
        <v>1022</v>
      </c>
      <c r="E1379" s="45">
        <f t="shared" ref="E1379" si="1483">(S1380-S1379)*80</f>
        <v>784.00000000000091</v>
      </c>
      <c r="F1379" s="45">
        <f t="shared" ref="F1379" si="1484">(Z1380-Z1379)*1</f>
        <v>113</v>
      </c>
      <c r="G1379" s="79">
        <f t="shared" ref="G1379" si="1485">C1379+D1379+F1379+E1379</f>
        <v>3673.0000000000009</v>
      </c>
      <c r="H1379" s="199">
        <v>3016</v>
      </c>
      <c r="I1379" s="199">
        <v>800</v>
      </c>
      <c r="J1379" s="200">
        <f t="shared" si="1388"/>
        <v>3816</v>
      </c>
      <c r="K1379" s="201">
        <f t="shared" si="1389"/>
        <v>142.99999999999909</v>
      </c>
      <c r="L1379" s="276">
        <v>309</v>
      </c>
      <c r="M1379" s="249">
        <v>0.42708333333333331</v>
      </c>
      <c r="N1379" s="235">
        <v>215798</v>
      </c>
      <c r="O1379" s="235">
        <v>108931</v>
      </c>
      <c r="P1379" s="235">
        <v>11047</v>
      </c>
      <c r="Q1379" s="235"/>
      <c r="R1379" s="235">
        <v>45924</v>
      </c>
      <c r="S1379" s="236">
        <v>70.599999999999994</v>
      </c>
      <c r="T1379" s="236"/>
      <c r="U1379" s="236"/>
      <c r="V1379" s="235">
        <v>313253</v>
      </c>
      <c r="W1379" s="235">
        <v>128855</v>
      </c>
      <c r="X1379" s="235">
        <v>112345</v>
      </c>
      <c r="Y1379" s="235">
        <v>92778</v>
      </c>
      <c r="Z1379" s="235">
        <v>214912</v>
      </c>
    </row>
    <row r="1380" spans="1:26" ht="18" hidden="1" customHeight="1" x14ac:dyDescent="0.2">
      <c r="A1380" s="279">
        <f t="shared" si="1325"/>
        <v>44231</v>
      </c>
      <c r="B1380" s="280" t="s">
        <v>194</v>
      </c>
      <c r="C1380" s="48">
        <f t="shared" ref="C1380" si="1486">(V1381-V1380)*1+(W1381-W1380)*32+(X1381-X1380)*12+(Y1381-Y1380)*6</f>
        <v>1732</v>
      </c>
      <c r="D1380" s="84">
        <f t="shared" si="1374"/>
        <v>911</v>
      </c>
      <c r="E1380" s="45">
        <f t="shared" ref="E1380" si="1487">(S1381-S1380)*80</f>
        <v>703.99999999999977</v>
      </c>
      <c r="F1380" s="45">
        <f t="shared" ref="F1380" si="1488">(Z1381-Z1380)*1</f>
        <v>116</v>
      </c>
      <c r="G1380" s="79">
        <f t="shared" ref="G1380" si="1489">C1380+D1380+F1380+E1380</f>
        <v>3463</v>
      </c>
      <c r="H1380" s="199">
        <v>3053</v>
      </c>
      <c r="I1380" s="199">
        <v>758</v>
      </c>
      <c r="J1380" s="200">
        <f t="shared" si="1388"/>
        <v>3811</v>
      </c>
      <c r="K1380" s="201">
        <f t="shared" si="1389"/>
        <v>348</v>
      </c>
      <c r="L1380" s="276">
        <v>301</v>
      </c>
      <c r="M1380" s="249">
        <v>0.45833333333333331</v>
      </c>
      <c r="N1380" s="235">
        <v>215917</v>
      </c>
      <c r="O1380" s="235">
        <v>108977</v>
      </c>
      <c r="P1380" s="235">
        <v>11047</v>
      </c>
      <c r="Q1380" s="235"/>
      <c r="R1380" s="235">
        <v>45994</v>
      </c>
      <c r="S1380" s="236">
        <v>80.400000000000006</v>
      </c>
      <c r="T1380" s="236"/>
      <c r="U1380" s="236"/>
      <c r="V1380" s="235">
        <v>313431</v>
      </c>
      <c r="W1380" s="235">
        <v>128881</v>
      </c>
      <c r="X1380" s="235">
        <v>112407</v>
      </c>
      <c r="Y1380" s="235">
        <v>92778</v>
      </c>
      <c r="Z1380" s="235">
        <v>215025</v>
      </c>
    </row>
    <row r="1381" spans="1:26" ht="18" hidden="1" customHeight="1" x14ac:dyDescent="0.2">
      <c r="A1381" s="282">
        <f t="shared" si="1325"/>
        <v>44232</v>
      </c>
      <c r="B1381" s="284" t="s">
        <v>189</v>
      </c>
      <c r="C1381" s="48">
        <f t="shared" ref="C1381:C1383" si="1490">(V1382-V1381)*1+(W1382-W1381)*32+(X1382-X1381)*12+(Y1382-Y1381)*6</f>
        <v>0</v>
      </c>
      <c r="D1381" s="84">
        <f t="shared" si="1374"/>
        <v>0</v>
      </c>
      <c r="E1381" s="45">
        <f t="shared" ref="E1381:E1383" si="1491">(S1382-S1381)*80</f>
        <v>0</v>
      </c>
      <c r="F1381" s="45">
        <f t="shared" ref="F1381:F1383" si="1492">(Z1382-Z1381)*1</f>
        <v>0</v>
      </c>
      <c r="G1381" s="79">
        <f t="shared" ref="G1381:G1383" si="1493">C1381+D1381+F1381+E1381</f>
        <v>0</v>
      </c>
      <c r="H1381" s="199">
        <v>3286</v>
      </c>
      <c r="I1381" s="199">
        <v>784</v>
      </c>
      <c r="J1381" s="200">
        <f t="shared" si="1388"/>
        <v>4070</v>
      </c>
      <c r="K1381" s="201">
        <f t="shared" si="1389"/>
        <v>4070</v>
      </c>
      <c r="L1381" s="276">
        <v>329</v>
      </c>
      <c r="M1381" s="249">
        <v>0.48958333333333331</v>
      </c>
      <c r="N1381" s="235">
        <v>216037</v>
      </c>
      <c r="O1381" s="235">
        <v>109024</v>
      </c>
      <c r="P1381" s="235">
        <v>11047</v>
      </c>
      <c r="Q1381" s="235"/>
      <c r="R1381" s="235">
        <v>45945</v>
      </c>
      <c r="S1381" s="236">
        <v>89.2</v>
      </c>
      <c r="T1381" s="236"/>
      <c r="U1381" s="236"/>
      <c r="V1381" s="235">
        <v>313599</v>
      </c>
      <c r="W1381" s="235">
        <v>128910</v>
      </c>
      <c r="X1381" s="235">
        <v>112460</v>
      </c>
      <c r="Y1381" s="235">
        <v>92778</v>
      </c>
      <c r="Z1381" s="235">
        <v>215141</v>
      </c>
    </row>
    <row r="1382" spans="1:26" ht="18" hidden="1" customHeight="1" x14ac:dyDescent="0.2">
      <c r="A1382" s="282">
        <f t="shared" si="1325"/>
        <v>44233</v>
      </c>
      <c r="B1382" s="282" t="s">
        <v>198</v>
      </c>
      <c r="C1382" s="48">
        <f t="shared" si="1490"/>
        <v>0</v>
      </c>
      <c r="D1382" s="84">
        <f t="shared" si="1374"/>
        <v>0</v>
      </c>
      <c r="E1382" s="45">
        <f t="shared" si="1491"/>
        <v>0</v>
      </c>
      <c r="F1382" s="45">
        <f t="shared" si="1492"/>
        <v>0</v>
      </c>
      <c r="G1382" s="79">
        <f t="shared" si="1493"/>
        <v>0</v>
      </c>
      <c r="H1382" s="199">
        <v>0</v>
      </c>
      <c r="I1382" s="199">
        <f>1884+728</f>
        <v>2612</v>
      </c>
      <c r="J1382" s="200">
        <f t="shared" ref="J1382:J1409" si="1494">H1382+I1382</f>
        <v>2612</v>
      </c>
      <c r="K1382" s="201">
        <f t="shared" ref="K1382:K1409" si="1495">J1382-G1382</f>
        <v>2612</v>
      </c>
      <c r="L1382" s="276">
        <v>183</v>
      </c>
      <c r="M1382" s="249">
        <v>0.38541666666666669</v>
      </c>
      <c r="N1382" s="153">
        <v>216037</v>
      </c>
      <c r="O1382" s="153">
        <v>109024</v>
      </c>
      <c r="P1382" s="153">
        <v>11047</v>
      </c>
      <c r="Q1382" s="153"/>
      <c r="R1382" s="153">
        <v>45945</v>
      </c>
      <c r="S1382" s="154">
        <v>89.2</v>
      </c>
      <c r="T1382" s="154"/>
      <c r="U1382" s="154"/>
      <c r="V1382" s="153">
        <v>313599</v>
      </c>
      <c r="W1382" s="153">
        <v>128910</v>
      </c>
      <c r="X1382" s="153">
        <v>112460</v>
      </c>
      <c r="Y1382" s="153">
        <v>92778</v>
      </c>
      <c r="Z1382" s="153">
        <v>215141</v>
      </c>
    </row>
    <row r="1383" spans="1:26" ht="18" hidden="1" customHeight="1" x14ac:dyDescent="0.2">
      <c r="A1383" s="279">
        <f t="shared" si="1325"/>
        <v>44234</v>
      </c>
      <c r="B1383" s="278" t="s">
        <v>190</v>
      </c>
      <c r="C1383" s="48">
        <f t="shared" si="1490"/>
        <v>2783</v>
      </c>
      <c r="D1383" s="84">
        <f t="shared" si="1374"/>
        <v>3142</v>
      </c>
      <c r="E1383" s="45">
        <f t="shared" si="1491"/>
        <v>2880</v>
      </c>
      <c r="F1383" s="45">
        <f t="shared" si="1492"/>
        <v>306</v>
      </c>
      <c r="G1383" s="79">
        <f t="shared" si="1493"/>
        <v>9111</v>
      </c>
      <c r="H1383" s="199">
        <v>0</v>
      </c>
      <c r="I1383" s="199">
        <v>2720</v>
      </c>
      <c r="J1383" s="200">
        <f t="shared" si="1494"/>
        <v>2720</v>
      </c>
      <c r="K1383" s="201">
        <f t="shared" si="1495"/>
        <v>-6391</v>
      </c>
      <c r="L1383" s="276">
        <v>193</v>
      </c>
      <c r="M1383" s="249">
        <v>0.41666666666666669</v>
      </c>
      <c r="N1383" s="153">
        <v>216037</v>
      </c>
      <c r="O1383" s="153">
        <v>109024</v>
      </c>
      <c r="P1383" s="153">
        <v>11047</v>
      </c>
      <c r="Q1383" s="153"/>
      <c r="R1383" s="153">
        <v>45945</v>
      </c>
      <c r="S1383" s="154">
        <v>89.2</v>
      </c>
      <c r="T1383" s="154"/>
      <c r="U1383" s="154"/>
      <c r="V1383" s="153">
        <v>313599</v>
      </c>
      <c r="W1383" s="153">
        <v>128910</v>
      </c>
      <c r="X1383" s="153">
        <v>112460</v>
      </c>
      <c r="Y1383" s="153">
        <v>92778</v>
      </c>
      <c r="Z1383" s="153">
        <v>215141</v>
      </c>
    </row>
    <row r="1384" spans="1:26" ht="18" hidden="1" customHeight="1" x14ac:dyDescent="0.2">
      <c r="A1384" s="279">
        <f t="shared" ref="A1384:A1447" si="1496">A1383+1</f>
        <v>44235</v>
      </c>
      <c r="B1384" s="280" t="s">
        <v>191</v>
      </c>
      <c r="C1384" s="48">
        <f t="shared" ref="C1384" si="1497">(V1385-V1384)*1+(W1385-W1384)*32+(X1385-X1384)*12+(Y1385-Y1384)*6</f>
        <v>2172</v>
      </c>
      <c r="D1384" s="84">
        <f t="shared" si="1374"/>
        <v>1047</v>
      </c>
      <c r="E1384" s="45">
        <f t="shared" ref="E1384" si="1498">(S1385-S1384)*80</f>
        <v>639.99999999999886</v>
      </c>
      <c r="F1384" s="45">
        <f t="shared" ref="F1384" si="1499">(Z1385-Z1384)*1</f>
        <v>106</v>
      </c>
      <c r="G1384" s="79">
        <f t="shared" ref="G1384" si="1500">C1384+D1384+F1384+E1384</f>
        <v>3964.9999999999991</v>
      </c>
      <c r="H1384" s="199">
        <v>3296</v>
      </c>
      <c r="I1384" s="199">
        <v>821</v>
      </c>
      <c r="J1384" s="200">
        <f t="shared" si="1494"/>
        <v>4117</v>
      </c>
      <c r="K1384" s="201">
        <f t="shared" si="1495"/>
        <v>152.00000000000091</v>
      </c>
      <c r="L1384" s="276">
        <v>363</v>
      </c>
      <c r="M1384" s="249">
        <v>0.45833333333333331</v>
      </c>
      <c r="N1384" s="235">
        <v>216427</v>
      </c>
      <c r="O1384" s="235">
        <v>109713</v>
      </c>
      <c r="P1384" s="235">
        <v>11047</v>
      </c>
      <c r="Q1384" s="235"/>
      <c r="R1384" s="235">
        <v>45967</v>
      </c>
      <c r="S1384" s="236">
        <v>125.2</v>
      </c>
      <c r="T1384" s="236"/>
      <c r="U1384" s="236"/>
      <c r="V1384" s="235">
        <v>314030</v>
      </c>
      <c r="W1384" s="235">
        <v>128958</v>
      </c>
      <c r="X1384" s="235">
        <v>112528</v>
      </c>
      <c r="Y1384" s="235">
        <v>92778</v>
      </c>
      <c r="Z1384" s="235">
        <v>215447</v>
      </c>
    </row>
    <row r="1385" spans="1:26" ht="18" hidden="1" customHeight="1" x14ac:dyDescent="0.2">
      <c r="A1385" s="279">
        <f t="shared" si="1496"/>
        <v>44236</v>
      </c>
      <c r="B1385" s="280" t="s">
        <v>192</v>
      </c>
      <c r="C1385" s="48">
        <f t="shared" ref="C1385:C1392" si="1501">(V1386-V1385)*1+(W1386-W1385)*32+(X1386-X1385)*12+(Y1386-Y1385)*6</f>
        <v>0</v>
      </c>
      <c r="D1385" s="84">
        <f t="shared" si="1374"/>
        <v>0</v>
      </c>
      <c r="E1385" s="45">
        <f t="shared" ref="E1385:E1392" si="1502">(S1386-S1385)*80</f>
        <v>0</v>
      </c>
      <c r="F1385" s="45">
        <f t="shared" ref="F1385:F1392" si="1503">(Z1386-Z1385)*1</f>
        <v>0</v>
      </c>
      <c r="G1385" s="79">
        <f t="shared" ref="G1385:G1392" si="1504">C1385+D1385+F1385+E1385</f>
        <v>0</v>
      </c>
      <c r="H1385" s="199">
        <v>1531</v>
      </c>
      <c r="I1385" s="199">
        <v>802</v>
      </c>
      <c r="J1385" s="200">
        <f t="shared" si="1494"/>
        <v>2333</v>
      </c>
      <c r="K1385" s="201">
        <f t="shared" si="1495"/>
        <v>2333</v>
      </c>
      <c r="L1385" s="276">
        <v>144</v>
      </c>
      <c r="M1385" s="249">
        <v>0.42708333333333331</v>
      </c>
      <c r="N1385" s="235">
        <v>216557</v>
      </c>
      <c r="O1385" s="235">
        <v>109224</v>
      </c>
      <c r="P1385" s="235">
        <v>11047</v>
      </c>
      <c r="Q1385" s="235"/>
      <c r="R1385" s="235">
        <v>45974</v>
      </c>
      <c r="S1385" s="236">
        <v>133.19999999999999</v>
      </c>
      <c r="T1385" s="236"/>
      <c r="U1385" s="236"/>
      <c r="V1385" s="235">
        <v>314194</v>
      </c>
      <c r="W1385" s="235">
        <v>128990</v>
      </c>
      <c r="X1385" s="235">
        <v>112610</v>
      </c>
      <c r="Y1385" s="235">
        <v>92778</v>
      </c>
      <c r="Z1385" s="235">
        <v>215553</v>
      </c>
    </row>
    <row r="1386" spans="1:26" ht="18" hidden="1" customHeight="1" x14ac:dyDescent="0.2">
      <c r="A1386" s="282">
        <f t="shared" si="1496"/>
        <v>44237</v>
      </c>
      <c r="B1386" s="283" t="s">
        <v>193</v>
      </c>
      <c r="C1386" s="48">
        <f t="shared" si="1501"/>
        <v>0</v>
      </c>
      <c r="D1386" s="84">
        <f t="shared" si="1374"/>
        <v>0</v>
      </c>
      <c r="E1386" s="45">
        <f t="shared" si="1502"/>
        <v>0</v>
      </c>
      <c r="F1386" s="45">
        <f t="shared" si="1503"/>
        <v>0</v>
      </c>
      <c r="G1386" s="79">
        <f t="shared" si="1504"/>
        <v>0</v>
      </c>
      <c r="H1386" s="199">
        <v>925</v>
      </c>
      <c r="I1386" s="199">
        <v>634</v>
      </c>
      <c r="J1386" s="200">
        <f t="shared" si="1494"/>
        <v>1559</v>
      </c>
      <c r="K1386" s="201">
        <f t="shared" si="1495"/>
        <v>1559</v>
      </c>
      <c r="L1386" s="276">
        <v>89</v>
      </c>
      <c r="M1386" s="249">
        <v>0.26041666666666669</v>
      </c>
      <c r="N1386" s="153">
        <v>216557</v>
      </c>
      <c r="O1386" s="153">
        <v>109224</v>
      </c>
      <c r="P1386" s="153">
        <v>11047</v>
      </c>
      <c r="Q1386" s="153"/>
      <c r="R1386" s="153">
        <v>45974</v>
      </c>
      <c r="S1386" s="154">
        <v>133.19999999999999</v>
      </c>
      <c r="T1386" s="154"/>
      <c r="U1386" s="154"/>
      <c r="V1386" s="153">
        <v>314194</v>
      </c>
      <c r="W1386" s="153">
        <v>128990</v>
      </c>
      <c r="X1386" s="153">
        <v>112610</v>
      </c>
      <c r="Y1386" s="153">
        <v>92778</v>
      </c>
      <c r="Z1386" s="153">
        <v>215553</v>
      </c>
    </row>
    <row r="1387" spans="1:26" ht="18" hidden="1" customHeight="1" x14ac:dyDescent="0.2">
      <c r="A1387" s="282">
        <f t="shared" si="1496"/>
        <v>44238</v>
      </c>
      <c r="B1387" s="283" t="s">
        <v>194</v>
      </c>
      <c r="C1387" s="48">
        <f t="shared" si="1501"/>
        <v>0</v>
      </c>
      <c r="D1387" s="84">
        <f t="shared" si="1374"/>
        <v>0</v>
      </c>
      <c r="E1387" s="45">
        <f t="shared" si="1502"/>
        <v>0</v>
      </c>
      <c r="F1387" s="45">
        <f t="shared" si="1503"/>
        <v>0</v>
      </c>
      <c r="G1387" s="79">
        <f t="shared" si="1504"/>
        <v>0</v>
      </c>
      <c r="H1387" s="199">
        <v>0</v>
      </c>
      <c r="I1387" s="199">
        <v>1519</v>
      </c>
      <c r="J1387" s="200">
        <f t="shared" si="1494"/>
        <v>1519</v>
      </c>
      <c r="K1387" s="201">
        <f t="shared" si="1495"/>
        <v>1519</v>
      </c>
      <c r="L1387" s="276">
        <v>72</v>
      </c>
      <c r="M1387" s="249">
        <v>0.97916666666666663</v>
      </c>
      <c r="N1387" s="153">
        <v>216557</v>
      </c>
      <c r="O1387" s="153">
        <v>109224</v>
      </c>
      <c r="P1387" s="153">
        <v>11047</v>
      </c>
      <c r="Q1387" s="153"/>
      <c r="R1387" s="153">
        <v>45974</v>
      </c>
      <c r="S1387" s="154">
        <v>133.19999999999999</v>
      </c>
      <c r="T1387" s="154"/>
      <c r="U1387" s="154"/>
      <c r="V1387" s="153">
        <v>314194</v>
      </c>
      <c r="W1387" s="153">
        <v>128990</v>
      </c>
      <c r="X1387" s="153">
        <v>112610</v>
      </c>
      <c r="Y1387" s="153">
        <v>92778</v>
      </c>
      <c r="Z1387" s="153">
        <v>215553</v>
      </c>
    </row>
    <row r="1388" spans="1:26" ht="18" hidden="1" customHeight="1" x14ac:dyDescent="0.2">
      <c r="A1388" s="282">
        <f t="shared" si="1496"/>
        <v>44239</v>
      </c>
      <c r="B1388" s="284" t="s">
        <v>189</v>
      </c>
      <c r="C1388" s="48">
        <f t="shared" si="1501"/>
        <v>0</v>
      </c>
      <c r="D1388" s="84">
        <f t="shared" si="1374"/>
        <v>0</v>
      </c>
      <c r="E1388" s="45">
        <f t="shared" si="1502"/>
        <v>0</v>
      </c>
      <c r="F1388" s="45">
        <f t="shared" si="1503"/>
        <v>0</v>
      </c>
      <c r="G1388" s="79">
        <f t="shared" si="1504"/>
        <v>0</v>
      </c>
      <c r="H1388" s="199">
        <v>0</v>
      </c>
      <c r="I1388" s="199">
        <v>1476</v>
      </c>
      <c r="J1388" s="200">
        <f t="shared" si="1494"/>
        <v>1476</v>
      </c>
      <c r="K1388" s="201">
        <f t="shared" si="1495"/>
        <v>1476</v>
      </c>
      <c r="L1388" s="276">
        <v>72</v>
      </c>
      <c r="M1388" s="249">
        <v>1.0416666666666666E-2</v>
      </c>
      <c r="N1388" s="153">
        <v>216557</v>
      </c>
      <c r="O1388" s="153">
        <v>109224</v>
      </c>
      <c r="P1388" s="153">
        <v>11047</v>
      </c>
      <c r="Q1388" s="153"/>
      <c r="R1388" s="153">
        <v>45974</v>
      </c>
      <c r="S1388" s="154">
        <v>133.19999999999999</v>
      </c>
      <c r="T1388" s="154"/>
      <c r="U1388" s="154"/>
      <c r="V1388" s="153">
        <v>314194</v>
      </c>
      <c r="W1388" s="153">
        <v>128990</v>
      </c>
      <c r="X1388" s="153">
        <v>112610</v>
      </c>
      <c r="Y1388" s="153">
        <v>92778</v>
      </c>
      <c r="Z1388" s="153">
        <v>215553</v>
      </c>
    </row>
    <row r="1389" spans="1:26" ht="18" hidden="1" customHeight="1" x14ac:dyDescent="0.2">
      <c r="A1389" s="282">
        <f t="shared" si="1496"/>
        <v>44240</v>
      </c>
      <c r="B1389" s="282" t="s">
        <v>198</v>
      </c>
      <c r="C1389" s="48">
        <f t="shared" si="1501"/>
        <v>0</v>
      </c>
      <c r="D1389" s="84">
        <f t="shared" si="1374"/>
        <v>0</v>
      </c>
      <c r="E1389" s="45">
        <f t="shared" si="1502"/>
        <v>0</v>
      </c>
      <c r="F1389" s="45">
        <f t="shared" si="1503"/>
        <v>0</v>
      </c>
      <c r="G1389" s="79">
        <f t="shared" si="1504"/>
        <v>0</v>
      </c>
      <c r="H1389" s="199">
        <v>0</v>
      </c>
      <c r="I1389" s="199">
        <v>1532</v>
      </c>
      <c r="J1389" s="200">
        <f t="shared" si="1494"/>
        <v>1532</v>
      </c>
      <c r="K1389" s="201">
        <f t="shared" si="1495"/>
        <v>1532</v>
      </c>
      <c r="L1389" s="276">
        <v>80</v>
      </c>
      <c r="M1389" s="249">
        <v>0.17708333333333334</v>
      </c>
      <c r="N1389" s="153">
        <v>216557</v>
      </c>
      <c r="O1389" s="153">
        <v>109224</v>
      </c>
      <c r="P1389" s="153">
        <v>11047</v>
      </c>
      <c r="Q1389" s="153"/>
      <c r="R1389" s="153">
        <v>45974</v>
      </c>
      <c r="S1389" s="154">
        <v>133.19999999999999</v>
      </c>
      <c r="T1389" s="154"/>
      <c r="U1389" s="154"/>
      <c r="V1389" s="153">
        <v>314194</v>
      </c>
      <c r="W1389" s="153">
        <v>128990</v>
      </c>
      <c r="X1389" s="153">
        <v>112610</v>
      </c>
      <c r="Y1389" s="153">
        <v>92778</v>
      </c>
      <c r="Z1389" s="153">
        <v>215553</v>
      </c>
    </row>
    <row r="1390" spans="1:26" ht="18" hidden="1" customHeight="1" x14ac:dyDescent="0.2">
      <c r="A1390" s="282">
        <f t="shared" si="1496"/>
        <v>44241</v>
      </c>
      <c r="B1390" s="284" t="s">
        <v>190</v>
      </c>
      <c r="C1390" s="48">
        <f t="shared" si="1501"/>
        <v>0</v>
      </c>
      <c r="D1390" s="84">
        <f t="shared" si="1374"/>
        <v>0</v>
      </c>
      <c r="E1390" s="45">
        <f t="shared" si="1502"/>
        <v>0</v>
      </c>
      <c r="F1390" s="45">
        <f t="shared" si="1503"/>
        <v>0</v>
      </c>
      <c r="G1390" s="79">
        <f t="shared" si="1504"/>
        <v>0</v>
      </c>
      <c r="H1390" s="199">
        <v>0</v>
      </c>
      <c r="I1390" s="199">
        <v>1287</v>
      </c>
      <c r="J1390" s="200">
        <f t="shared" si="1494"/>
        <v>1287</v>
      </c>
      <c r="K1390" s="201">
        <f t="shared" si="1495"/>
        <v>1287</v>
      </c>
      <c r="L1390" s="276">
        <v>72</v>
      </c>
      <c r="M1390" s="249">
        <v>8.3333333333333329E-2</v>
      </c>
      <c r="N1390" s="153">
        <v>216557</v>
      </c>
      <c r="O1390" s="153">
        <v>109224</v>
      </c>
      <c r="P1390" s="153">
        <v>11047</v>
      </c>
      <c r="Q1390" s="153"/>
      <c r="R1390" s="153">
        <v>45974</v>
      </c>
      <c r="S1390" s="154">
        <v>133.19999999999999</v>
      </c>
      <c r="T1390" s="154"/>
      <c r="U1390" s="154"/>
      <c r="V1390" s="153">
        <v>314194</v>
      </c>
      <c r="W1390" s="153">
        <v>128990</v>
      </c>
      <c r="X1390" s="153">
        <v>112610</v>
      </c>
      <c r="Y1390" s="153">
        <v>92778</v>
      </c>
      <c r="Z1390" s="153">
        <v>215553</v>
      </c>
    </row>
    <row r="1391" spans="1:26" ht="18" hidden="1" customHeight="1" x14ac:dyDescent="0.2">
      <c r="A1391" s="282">
        <f t="shared" si="1496"/>
        <v>44242</v>
      </c>
      <c r="B1391" s="283" t="s">
        <v>191</v>
      </c>
      <c r="C1391" s="48">
        <f t="shared" si="1501"/>
        <v>0</v>
      </c>
      <c r="D1391" s="84">
        <f t="shared" si="1374"/>
        <v>0</v>
      </c>
      <c r="E1391" s="45">
        <f t="shared" si="1502"/>
        <v>0</v>
      </c>
      <c r="F1391" s="45">
        <f t="shared" si="1503"/>
        <v>0</v>
      </c>
      <c r="G1391" s="79">
        <f t="shared" si="1504"/>
        <v>0</v>
      </c>
      <c r="H1391" s="199">
        <v>0</v>
      </c>
      <c r="I1391" s="199">
        <v>626</v>
      </c>
      <c r="J1391" s="200">
        <f t="shared" si="1494"/>
        <v>626</v>
      </c>
      <c r="K1391" s="201">
        <f t="shared" si="1495"/>
        <v>626</v>
      </c>
      <c r="L1391" s="276">
        <v>75</v>
      </c>
      <c r="M1391" s="249">
        <v>0.39583333333333331</v>
      </c>
      <c r="N1391" s="153">
        <v>216557</v>
      </c>
      <c r="O1391" s="153">
        <v>109224</v>
      </c>
      <c r="P1391" s="153">
        <v>11047</v>
      </c>
      <c r="Q1391" s="153"/>
      <c r="R1391" s="153">
        <v>45974</v>
      </c>
      <c r="S1391" s="154">
        <v>133.19999999999999</v>
      </c>
      <c r="T1391" s="154"/>
      <c r="U1391" s="154"/>
      <c r="V1391" s="153">
        <v>314194</v>
      </c>
      <c r="W1391" s="153">
        <v>128990</v>
      </c>
      <c r="X1391" s="153">
        <v>112610</v>
      </c>
      <c r="Y1391" s="153">
        <v>92778</v>
      </c>
      <c r="Z1391" s="153">
        <v>215553</v>
      </c>
    </row>
    <row r="1392" spans="1:26" ht="18" hidden="1" customHeight="1" x14ac:dyDescent="0.2">
      <c r="A1392" s="282">
        <f t="shared" si="1496"/>
        <v>44243</v>
      </c>
      <c r="B1392" s="283" t="s">
        <v>192</v>
      </c>
      <c r="C1392" s="48">
        <f t="shared" si="1501"/>
        <v>3457</v>
      </c>
      <c r="D1392" s="84">
        <f t="shared" si="1374"/>
        <v>4873</v>
      </c>
      <c r="E1392" s="45">
        <f t="shared" si="1502"/>
        <v>816.00000000000136</v>
      </c>
      <c r="F1392" s="45">
        <f t="shared" si="1503"/>
        <v>826</v>
      </c>
      <c r="G1392" s="79">
        <f t="shared" si="1504"/>
        <v>9972.0000000000018</v>
      </c>
      <c r="H1392" s="199">
        <v>0</v>
      </c>
      <c r="I1392" s="199">
        <v>838</v>
      </c>
      <c r="J1392" s="200">
        <f t="shared" si="1494"/>
        <v>838</v>
      </c>
      <c r="K1392" s="201">
        <f t="shared" si="1495"/>
        <v>-9134.0000000000018</v>
      </c>
      <c r="L1392" s="276"/>
      <c r="M1392" s="276"/>
      <c r="N1392" s="153">
        <v>216557</v>
      </c>
      <c r="O1392" s="153">
        <v>109224</v>
      </c>
      <c r="P1392" s="153">
        <v>11047</v>
      </c>
      <c r="Q1392" s="153"/>
      <c r="R1392" s="153">
        <v>45974</v>
      </c>
      <c r="S1392" s="154">
        <v>133.19999999999999</v>
      </c>
      <c r="T1392" s="154"/>
      <c r="U1392" s="154"/>
      <c r="V1392" s="153">
        <v>314194</v>
      </c>
      <c r="W1392" s="153">
        <v>128990</v>
      </c>
      <c r="X1392" s="153">
        <v>112610</v>
      </c>
      <c r="Y1392" s="153">
        <v>92778</v>
      </c>
      <c r="Z1392" s="153">
        <v>215553</v>
      </c>
    </row>
    <row r="1393" spans="1:26" ht="18" hidden="1" customHeight="1" x14ac:dyDescent="0.2">
      <c r="A1393" s="279">
        <f t="shared" si="1496"/>
        <v>44244</v>
      </c>
      <c r="B1393" s="280" t="s">
        <v>193</v>
      </c>
      <c r="C1393" s="48">
        <f t="shared" ref="C1393" si="1505">(V1394-V1393)*1+(W1394-W1393)*32+(X1394-X1393)*12+(Y1394-Y1393)*6</f>
        <v>1986</v>
      </c>
      <c r="D1393" s="84">
        <f t="shared" si="1374"/>
        <v>1047</v>
      </c>
      <c r="E1393" s="45">
        <f t="shared" ref="E1393" si="1506">(S1394-S1393)*80</f>
        <v>1463.9999999999986</v>
      </c>
      <c r="F1393" s="45">
        <f t="shared" ref="F1393" si="1507">(Z1394-Z1393)*1</f>
        <v>150</v>
      </c>
      <c r="G1393" s="79">
        <f t="shared" ref="G1393" si="1508">C1393+D1393+F1393+E1393</f>
        <v>4646.9999999999982</v>
      </c>
      <c r="H1393" s="199">
        <v>3948</v>
      </c>
      <c r="I1393" s="199">
        <v>643</v>
      </c>
      <c r="J1393" s="200">
        <f t="shared" si="1494"/>
        <v>4591</v>
      </c>
      <c r="K1393" s="201">
        <f t="shared" si="1495"/>
        <v>-55.999999999998181</v>
      </c>
      <c r="L1393" s="276">
        <v>380</v>
      </c>
      <c r="M1393" s="249">
        <v>0.47916666666666669</v>
      </c>
      <c r="N1393" s="235">
        <v>217157</v>
      </c>
      <c r="O1393" s="235">
        <v>109446</v>
      </c>
      <c r="P1393" s="235">
        <v>11047</v>
      </c>
      <c r="Q1393" s="235"/>
      <c r="R1393" s="235">
        <v>46047</v>
      </c>
      <c r="S1393" s="236">
        <v>143.4</v>
      </c>
      <c r="T1393" s="236"/>
      <c r="U1393" s="236"/>
      <c r="V1393" s="235">
        <v>315123</v>
      </c>
      <c r="W1393" s="235">
        <v>129066</v>
      </c>
      <c r="X1393" s="235">
        <v>112618</v>
      </c>
      <c r="Y1393" s="235">
        <v>92778</v>
      </c>
      <c r="Z1393" s="235">
        <v>216379</v>
      </c>
    </row>
    <row r="1394" spans="1:26" ht="18" hidden="1" customHeight="1" x14ac:dyDescent="0.2">
      <c r="A1394" s="279">
        <f t="shared" si="1496"/>
        <v>44245</v>
      </c>
      <c r="B1394" s="280" t="s">
        <v>194</v>
      </c>
      <c r="C1394" s="48">
        <f t="shared" ref="C1394" si="1509">(V1395-V1394)*1+(W1395-W1394)*32+(X1395-X1394)*12+(Y1395-Y1394)*6</f>
        <v>2077</v>
      </c>
      <c r="D1394" s="84">
        <f t="shared" si="1374"/>
        <v>1047</v>
      </c>
      <c r="E1394" s="45">
        <f t="shared" ref="E1394" si="1510">(S1395-S1394)*80</f>
        <v>1512.0000000000005</v>
      </c>
      <c r="F1394" s="45">
        <f t="shared" ref="F1394" si="1511">(Z1395-Z1394)*1</f>
        <v>120</v>
      </c>
      <c r="G1394" s="79">
        <f t="shared" ref="G1394" si="1512">C1394+D1394+F1394+E1394</f>
        <v>4756</v>
      </c>
      <c r="H1394" s="199">
        <v>4106</v>
      </c>
      <c r="I1394" s="199">
        <v>878</v>
      </c>
      <c r="J1394" s="200">
        <f t="shared" si="1494"/>
        <v>4984</v>
      </c>
      <c r="K1394" s="201">
        <f t="shared" si="1495"/>
        <v>228</v>
      </c>
      <c r="L1394" s="276">
        <v>385</v>
      </c>
      <c r="M1394" s="249">
        <v>0.46875</v>
      </c>
      <c r="N1394" s="235">
        <v>217287</v>
      </c>
      <c r="O1394" s="235">
        <v>109498</v>
      </c>
      <c r="P1394" s="235">
        <v>11047</v>
      </c>
      <c r="Q1394" s="235"/>
      <c r="R1394" s="235">
        <v>46054</v>
      </c>
      <c r="S1394" s="236">
        <v>161.69999999999999</v>
      </c>
      <c r="T1394" s="236"/>
      <c r="U1394" s="236"/>
      <c r="V1394" s="235">
        <v>315277</v>
      </c>
      <c r="W1394" s="235">
        <v>129097</v>
      </c>
      <c r="X1394" s="235">
        <v>112688</v>
      </c>
      <c r="Y1394" s="235">
        <v>92778</v>
      </c>
      <c r="Z1394" s="235">
        <v>216529</v>
      </c>
    </row>
    <row r="1395" spans="1:26" ht="18" hidden="1" customHeight="1" x14ac:dyDescent="0.2">
      <c r="A1395" s="279">
        <f t="shared" si="1496"/>
        <v>44246</v>
      </c>
      <c r="B1395" s="278" t="s">
        <v>189</v>
      </c>
      <c r="C1395" s="48">
        <f t="shared" ref="C1395" si="1513">(V1396-V1395)*1+(W1396-W1395)*32+(X1396-X1395)*12+(Y1396-Y1395)*6</f>
        <v>2275</v>
      </c>
      <c r="D1395" s="84">
        <f t="shared" si="1374"/>
        <v>1046</v>
      </c>
      <c r="E1395" s="45">
        <f t="shared" ref="E1395" si="1514">(S1396-S1395)*80</f>
        <v>1336.0000000000014</v>
      </c>
      <c r="F1395" s="45">
        <f t="shared" ref="F1395" si="1515">(Z1396-Z1395)*1</f>
        <v>158</v>
      </c>
      <c r="G1395" s="79">
        <f t="shared" ref="G1395" si="1516">C1395+D1395+F1395+E1395</f>
        <v>4815.0000000000018</v>
      </c>
      <c r="H1395" s="199">
        <v>4232</v>
      </c>
      <c r="I1395" s="199">
        <v>841</v>
      </c>
      <c r="J1395" s="200">
        <f t="shared" si="1494"/>
        <v>5073</v>
      </c>
      <c r="K1395" s="201">
        <f t="shared" si="1495"/>
        <v>257.99999999999818</v>
      </c>
      <c r="L1395" s="276">
        <v>395</v>
      </c>
      <c r="M1395" s="249">
        <v>0.39583333333333331</v>
      </c>
      <c r="N1395" s="235">
        <v>217417</v>
      </c>
      <c r="O1395" s="235">
        <v>109550</v>
      </c>
      <c r="P1395" s="235">
        <v>11047</v>
      </c>
      <c r="Q1395" s="235"/>
      <c r="R1395" s="235">
        <v>46061</v>
      </c>
      <c r="S1395" s="236">
        <v>180.6</v>
      </c>
      <c r="T1395" s="236"/>
      <c r="U1395" s="236"/>
      <c r="V1395" s="235">
        <v>315438</v>
      </c>
      <c r="W1395" s="235">
        <v>129128</v>
      </c>
      <c r="X1395" s="235">
        <v>112765</v>
      </c>
      <c r="Y1395" s="235">
        <v>92778</v>
      </c>
      <c r="Z1395" s="235">
        <v>216649</v>
      </c>
    </row>
    <row r="1396" spans="1:26" ht="18" hidden="1" customHeight="1" x14ac:dyDescent="0.2">
      <c r="A1396" s="279">
        <f t="shared" si="1496"/>
        <v>44247</v>
      </c>
      <c r="B1396" s="279" t="s">
        <v>195</v>
      </c>
      <c r="C1396" s="48">
        <f t="shared" ref="C1396:C1397" si="1517">(V1397-V1396)*1+(W1397-W1396)*32+(X1397-X1396)*12+(Y1397-Y1396)*6</f>
        <v>0</v>
      </c>
      <c r="D1396" s="84">
        <f t="shared" si="1374"/>
        <v>0</v>
      </c>
      <c r="E1396" s="45">
        <f t="shared" ref="E1396:E1397" si="1518">(S1397-S1396)*80</f>
        <v>0</v>
      </c>
      <c r="F1396" s="45">
        <f t="shared" ref="F1396:F1397" si="1519">(Z1397-Z1396)*1</f>
        <v>0</v>
      </c>
      <c r="G1396" s="79">
        <f t="shared" ref="G1396:G1397" si="1520">C1396+D1396+F1396+E1396</f>
        <v>0</v>
      </c>
      <c r="H1396" s="199">
        <v>0</v>
      </c>
      <c r="I1396" s="199">
        <v>750</v>
      </c>
      <c r="J1396" s="200">
        <f t="shared" si="1494"/>
        <v>750</v>
      </c>
      <c r="K1396" s="201">
        <f t="shared" si="1495"/>
        <v>750</v>
      </c>
      <c r="L1396" s="276">
        <v>240</v>
      </c>
      <c r="M1396" s="249">
        <v>0.45833333333333331</v>
      </c>
      <c r="N1396" s="235">
        <v>217547</v>
      </c>
      <c r="O1396" s="235">
        <v>109597</v>
      </c>
      <c r="P1396" s="235">
        <v>11047</v>
      </c>
      <c r="Q1396" s="235"/>
      <c r="R1396" s="235">
        <v>46067</v>
      </c>
      <c r="S1396" s="236">
        <v>197.3</v>
      </c>
      <c r="T1396" s="236"/>
      <c r="U1396" s="236"/>
      <c r="V1396" s="235">
        <v>315589</v>
      </c>
      <c r="W1396" s="235">
        <v>129161</v>
      </c>
      <c r="X1396" s="235">
        <v>112854</v>
      </c>
      <c r="Y1396" s="235">
        <v>92778</v>
      </c>
      <c r="Z1396" s="235">
        <v>216807</v>
      </c>
    </row>
    <row r="1397" spans="1:26" ht="18" hidden="1" customHeight="1" x14ac:dyDescent="0.2">
      <c r="A1397" s="279">
        <f t="shared" si="1496"/>
        <v>44248</v>
      </c>
      <c r="B1397" s="278" t="s">
        <v>190</v>
      </c>
      <c r="C1397" s="48">
        <f t="shared" si="1517"/>
        <v>2155</v>
      </c>
      <c r="D1397" s="84">
        <f t="shared" si="1374"/>
        <v>1944</v>
      </c>
      <c r="E1397" s="45">
        <f t="shared" si="1518"/>
        <v>511.99999999999818</v>
      </c>
      <c r="F1397" s="45">
        <f t="shared" si="1519"/>
        <v>232</v>
      </c>
      <c r="G1397" s="79">
        <f t="shared" si="1520"/>
        <v>4842.9999999999982</v>
      </c>
      <c r="H1397" s="199">
        <v>0</v>
      </c>
      <c r="I1397" s="199">
        <v>1861</v>
      </c>
      <c r="J1397" s="200">
        <f t="shared" si="1494"/>
        <v>1861</v>
      </c>
      <c r="K1397" s="201">
        <f t="shared" si="1495"/>
        <v>-2981.9999999999982</v>
      </c>
      <c r="L1397" s="276">
        <v>112</v>
      </c>
      <c r="M1397" s="249">
        <v>0.95833333333333337</v>
      </c>
      <c r="N1397" s="153">
        <v>217547</v>
      </c>
      <c r="O1397" s="153">
        <v>109597</v>
      </c>
      <c r="P1397" s="153">
        <v>11047</v>
      </c>
      <c r="Q1397" s="153"/>
      <c r="R1397" s="153">
        <v>46067</v>
      </c>
      <c r="S1397" s="154">
        <v>197.3</v>
      </c>
      <c r="T1397" s="154"/>
      <c r="U1397" s="154"/>
      <c r="V1397" s="153">
        <v>315589</v>
      </c>
      <c r="W1397" s="153">
        <v>129161</v>
      </c>
      <c r="X1397" s="153">
        <v>112854</v>
      </c>
      <c r="Y1397" s="153">
        <v>92778</v>
      </c>
      <c r="Z1397" s="153">
        <v>216807</v>
      </c>
    </row>
    <row r="1398" spans="1:26" ht="18" hidden="1" customHeight="1" x14ac:dyDescent="0.2">
      <c r="A1398" s="279">
        <f t="shared" si="1496"/>
        <v>44249</v>
      </c>
      <c r="B1398" s="280" t="s">
        <v>191</v>
      </c>
      <c r="C1398" s="48">
        <f t="shared" ref="C1398" si="1521">(V1399-V1398)*1+(W1399-W1398)*32+(X1399-X1398)*12+(Y1399-Y1398)*6</f>
        <v>2327</v>
      </c>
      <c r="D1398" s="84">
        <f t="shared" si="1374"/>
        <v>1046</v>
      </c>
      <c r="E1398" s="45">
        <f t="shared" ref="E1398" si="1522">(S1399-S1398)*80</f>
        <v>1616.0000000000014</v>
      </c>
      <c r="F1398" s="45">
        <f t="shared" ref="F1398" si="1523">(Z1399-Z1398)*1</f>
        <v>102</v>
      </c>
      <c r="G1398" s="79">
        <f t="shared" ref="G1398" si="1524">C1398+D1398+F1398+E1398</f>
        <v>5091.0000000000018</v>
      </c>
      <c r="H1398" s="199">
        <v>4313</v>
      </c>
      <c r="I1398" s="199">
        <v>924</v>
      </c>
      <c r="J1398" s="200">
        <f t="shared" si="1494"/>
        <v>5237</v>
      </c>
      <c r="K1398" s="201">
        <f t="shared" si="1495"/>
        <v>145.99999999999818</v>
      </c>
      <c r="L1398" s="276">
        <v>392</v>
      </c>
      <c r="M1398" s="249">
        <v>0.57291666666666663</v>
      </c>
      <c r="N1398" s="235">
        <v>217787</v>
      </c>
      <c r="O1398" s="235">
        <v>109687</v>
      </c>
      <c r="P1398" s="235">
        <v>11047</v>
      </c>
      <c r="Q1398" s="235"/>
      <c r="R1398" s="235">
        <v>46091</v>
      </c>
      <c r="S1398" s="236">
        <v>203.7</v>
      </c>
      <c r="T1398" s="236"/>
      <c r="U1398" s="236"/>
      <c r="V1398" s="235">
        <v>315856</v>
      </c>
      <c r="W1398" s="235">
        <v>129199</v>
      </c>
      <c r="X1398" s="235">
        <v>112910</v>
      </c>
      <c r="Y1398" s="235">
        <v>92778</v>
      </c>
      <c r="Z1398" s="235">
        <v>217039</v>
      </c>
    </row>
    <row r="1399" spans="1:26" ht="18" hidden="1" customHeight="1" x14ac:dyDescent="0.2">
      <c r="A1399" s="279">
        <f t="shared" si="1496"/>
        <v>44250</v>
      </c>
      <c r="B1399" s="280" t="s">
        <v>192</v>
      </c>
      <c r="C1399" s="48">
        <f t="shared" ref="C1399" si="1525">(V1400-V1399)*1+(W1400-W1399)*32+(X1400-X1399)*12+(Y1400-Y1399)*6</f>
        <v>1898</v>
      </c>
      <c r="D1399" s="84">
        <f t="shared" si="1374"/>
        <v>886</v>
      </c>
      <c r="E1399" s="45">
        <f t="shared" ref="E1399" si="1526">(S1400-S1399)*80</f>
        <v>1535.9999999999991</v>
      </c>
      <c r="F1399" s="45">
        <f t="shared" ref="F1399" si="1527">(Z1400-Z1399)*1</f>
        <v>91</v>
      </c>
      <c r="G1399" s="79">
        <f t="shared" ref="G1399" si="1528">C1399+D1399+F1399+E1399</f>
        <v>4410.9999999999991</v>
      </c>
      <c r="H1399" s="199">
        <v>3951</v>
      </c>
      <c r="I1399" s="199">
        <v>785</v>
      </c>
      <c r="J1399" s="200">
        <f t="shared" si="1494"/>
        <v>4736</v>
      </c>
      <c r="K1399" s="201">
        <f t="shared" si="1495"/>
        <v>325.00000000000091</v>
      </c>
      <c r="L1399" s="276">
        <v>389</v>
      </c>
      <c r="M1399" s="249">
        <v>0.42708333333333331</v>
      </c>
      <c r="N1399" s="235">
        <v>217917</v>
      </c>
      <c r="O1399" s="235">
        <v>109734</v>
      </c>
      <c r="P1399" s="235">
        <v>11047</v>
      </c>
      <c r="Q1399" s="235"/>
      <c r="R1399" s="235">
        <v>46097</v>
      </c>
      <c r="S1399" s="236">
        <v>223.9</v>
      </c>
      <c r="T1399" s="236"/>
      <c r="U1399" s="236"/>
      <c r="V1399" s="235">
        <v>316019</v>
      </c>
      <c r="W1399" s="235">
        <v>129234</v>
      </c>
      <c r="X1399" s="235">
        <v>112997</v>
      </c>
      <c r="Y1399" s="235">
        <v>92778</v>
      </c>
      <c r="Z1399" s="235">
        <v>217141</v>
      </c>
    </row>
    <row r="1400" spans="1:26" ht="18" hidden="1" customHeight="1" x14ac:dyDescent="0.2">
      <c r="A1400" s="279">
        <f t="shared" si="1496"/>
        <v>44251</v>
      </c>
      <c r="B1400" s="280" t="s">
        <v>193</v>
      </c>
      <c r="C1400" s="48">
        <f t="shared" ref="C1400" si="1529">(V1401-V1400)*1+(W1401-W1400)*32+(X1401-X1400)*12+(Y1401-Y1400)*6</f>
        <v>1977</v>
      </c>
      <c r="D1400" s="84">
        <f t="shared" si="1374"/>
        <v>887</v>
      </c>
      <c r="E1400" s="45">
        <f t="shared" ref="E1400" si="1530">(S1401-S1400)*80</f>
        <v>1416.0000000000014</v>
      </c>
      <c r="F1400" s="45">
        <f t="shared" ref="F1400" si="1531">(Z1401-Z1400)*1</f>
        <v>88</v>
      </c>
      <c r="G1400" s="79">
        <f t="shared" ref="G1400" si="1532">C1400+D1400+F1400+E1400</f>
        <v>4368.0000000000018</v>
      </c>
      <c r="H1400" s="199">
        <v>3787</v>
      </c>
      <c r="I1400" s="199">
        <v>808</v>
      </c>
      <c r="J1400" s="200">
        <f t="shared" si="1494"/>
        <v>4595</v>
      </c>
      <c r="K1400" s="201">
        <f t="shared" si="1495"/>
        <v>226.99999999999818</v>
      </c>
      <c r="L1400" s="276">
        <v>372</v>
      </c>
      <c r="M1400" s="249">
        <v>0.58333333333333337</v>
      </c>
      <c r="N1400" s="235">
        <v>218027</v>
      </c>
      <c r="O1400" s="235">
        <v>109779</v>
      </c>
      <c r="P1400" s="235">
        <v>11047</v>
      </c>
      <c r="Q1400" s="235"/>
      <c r="R1400" s="235">
        <v>46103</v>
      </c>
      <c r="S1400" s="236">
        <v>243.1</v>
      </c>
      <c r="T1400" s="236"/>
      <c r="U1400" s="236"/>
      <c r="V1400" s="235">
        <v>316173</v>
      </c>
      <c r="W1400" s="235">
        <v>129266</v>
      </c>
      <c r="X1400" s="235">
        <v>113057</v>
      </c>
      <c r="Y1400" s="235">
        <v>92778</v>
      </c>
      <c r="Z1400" s="235">
        <v>217232</v>
      </c>
    </row>
    <row r="1401" spans="1:26" ht="18" hidden="1" customHeight="1" x14ac:dyDescent="0.2">
      <c r="A1401" s="279">
        <f t="shared" si="1496"/>
        <v>44252</v>
      </c>
      <c r="B1401" s="280" t="s">
        <v>194</v>
      </c>
      <c r="C1401" s="48">
        <f t="shared" ref="C1401" si="1533">(V1402-V1401)*1+(W1402-W1401)*32+(X1402-X1401)*12+(Y1402-Y1401)*6</f>
        <v>1999</v>
      </c>
      <c r="D1401" s="84">
        <f t="shared" si="1374"/>
        <v>981</v>
      </c>
      <c r="E1401" s="45">
        <f t="shared" ref="E1401" si="1534">(S1402-S1401)*80</f>
        <v>1471.9999999999982</v>
      </c>
      <c r="F1401" s="45">
        <f t="shared" ref="F1401" si="1535">(Z1402-Z1401)*1</f>
        <v>79</v>
      </c>
      <c r="G1401" s="79">
        <f t="shared" ref="G1401" si="1536">C1401+D1401+F1401+E1401</f>
        <v>4530.9999999999982</v>
      </c>
      <c r="H1401" s="199">
        <v>3960</v>
      </c>
      <c r="I1401" s="199">
        <v>772</v>
      </c>
      <c r="J1401" s="200">
        <f t="shared" si="1494"/>
        <v>4732</v>
      </c>
      <c r="K1401" s="201">
        <f t="shared" si="1495"/>
        <v>201.00000000000182</v>
      </c>
      <c r="L1401" s="276">
        <v>367</v>
      </c>
      <c r="M1401" s="249">
        <v>0.41666666666666669</v>
      </c>
      <c r="N1401" s="235">
        <v>218137</v>
      </c>
      <c r="O1401" s="235">
        <v>109824</v>
      </c>
      <c r="P1401" s="235">
        <v>11047</v>
      </c>
      <c r="Q1401" s="235"/>
      <c r="R1401" s="235">
        <v>46110</v>
      </c>
      <c r="S1401" s="236">
        <v>260.8</v>
      </c>
      <c r="T1401" s="236"/>
      <c r="U1401" s="236"/>
      <c r="V1401" s="235">
        <v>316326</v>
      </c>
      <c r="W1401" s="235">
        <v>129299</v>
      </c>
      <c r="X1401" s="235">
        <v>113121</v>
      </c>
      <c r="Y1401" s="235">
        <v>92778</v>
      </c>
      <c r="Z1401" s="235">
        <v>217320</v>
      </c>
    </row>
    <row r="1402" spans="1:26" ht="18" hidden="1" customHeight="1" x14ac:dyDescent="0.2">
      <c r="A1402" s="282">
        <f t="shared" si="1496"/>
        <v>44253</v>
      </c>
      <c r="B1402" s="284" t="s">
        <v>189</v>
      </c>
      <c r="C1402" s="48">
        <f t="shared" ref="C1402:C1405" si="1537">(V1403-V1402)*1+(W1403-W1402)*32+(X1403-X1402)*12+(Y1403-Y1402)*6</f>
        <v>0</v>
      </c>
      <c r="D1402" s="84">
        <f t="shared" si="1374"/>
        <v>0</v>
      </c>
      <c r="E1402" s="45">
        <f t="shared" ref="E1402:E1405" si="1538">(S1403-S1402)*80</f>
        <v>0</v>
      </c>
      <c r="F1402" s="45">
        <f t="shared" ref="F1402:F1405" si="1539">(Z1403-Z1402)*1</f>
        <v>0</v>
      </c>
      <c r="G1402" s="79">
        <f t="shared" ref="G1402:G1405" si="1540">C1402+D1402+F1402+E1402</f>
        <v>0</v>
      </c>
      <c r="H1402" s="199">
        <v>3775</v>
      </c>
      <c r="I1402" s="199">
        <v>806</v>
      </c>
      <c r="J1402" s="200">
        <f t="shared" si="1494"/>
        <v>4581</v>
      </c>
      <c r="K1402" s="201">
        <f t="shared" si="1495"/>
        <v>4581</v>
      </c>
      <c r="L1402" s="276">
        <v>377</v>
      </c>
      <c r="M1402" s="249">
        <v>0.40625</v>
      </c>
      <c r="N1402" s="235">
        <v>218257</v>
      </c>
      <c r="O1402" s="235">
        <v>109869</v>
      </c>
      <c r="P1402" s="235">
        <v>11047</v>
      </c>
      <c r="Q1402" s="235"/>
      <c r="R1402" s="235">
        <v>46131</v>
      </c>
      <c r="S1402" s="236">
        <v>279.2</v>
      </c>
      <c r="T1402" s="236"/>
      <c r="U1402" s="236"/>
      <c r="V1402" s="235">
        <v>316477</v>
      </c>
      <c r="W1402" s="235">
        <v>129332</v>
      </c>
      <c r="X1402" s="235">
        <v>113187</v>
      </c>
      <c r="Y1402" s="235">
        <v>92778</v>
      </c>
      <c r="Z1402" s="235">
        <v>217399</v>
      </c>
    </row>
    <row r="1403" spans="1:26" ht="18" hidden="1" customHeight="1" x14ac:dyDescent="0.2">
      <c r="A1403" s="282">
        <f t="shared" si="1496"/>
        <v>44254</v>
      </c>
      <c r="B1403" s="282" t="s">
        <v>198</v>
      </c>
      <c r="C1403" s="48">
        <f t="shared" si="1537"/>
        <v>0</v>
      </c>
      <c r="D1403" s="84">
        <f t="shared" si="1374"/>
        <v>0</v>
      </c>
      <c r="E1403" s="45">
        <f t="shared" si="1538"/>
        <v>0</v>
      </c>
      <c r="F1403" s="45">
        <f t="shared" si="1539"/>
        <v>0</v>
      </c>
      <c r="G1403" s="79">
        <f t="shared" si="1540"/>
        <v>0</v>
      </c>
      <c r="H1403" s="199">
        <v>0</v>
      </c>
      <c r="I1403" s="199">
        <v>659</v>
      </c>
      <c r="J1403" s="200">
        <f t="shared" si="1494"/>
        <v>659</v>
      </c>
      <c r="K1403" s="201">
        <f t="shared" si="1495"/>
        <v>659</v>
      </c>
      <c r="L1403" s="276">
        <v>81</v>
      </c>
      <c r="M1403" s="276" t="s">
        <v>199</v>
      </c>
      <c r="N1403" s="153">
        <v>218257</v>
      </c>
      <c r="O1403" s="153">
        <v>109869</v>
      </c>
      <c r="P1403" s="153">
        <v>11047</v>
      </c>
      <c r="Q1403" s="153"/>
      <c r="R1403" s="153">
        <v>46131</v>
      </c>
      <c r="S1403" s="154">
        <v>279.2</v>
      </c>
      <c r="T1403" s="154"/>
      <c r="U1403" s="154"/>
      <c r="V1403" s="153">
        <v>316477</v>
      </c>
      <c r="W1403" s="153">
        <v>129332</v>
      </c>
      <c r="X1403" s="153">
        <v>113187</v>
      </c>
      <c r="Y1403" s="153">
        <v>92778</v>
      </c>
      <c r="Z1403" s="153">
        <v>217399</v>
      </c>
    </row>
    <row r="1404" spans="1:26" ht="18" hidden="1" customHeight="1" x14ac:dyDescent="0.2">
      <c r="A1404" s="282">
        <f t="shared" si="1496"/>
        <v>44255</v>
      </c>
      <c r="B1404" s="284" t="s">
        <v>190</v>
      </c>
      <c r="C1404" s="48">
        <f t="shared" si="1537"/>
        <v>3070</v>
      </c>
      <c r="D1404" s="84">
        <f t="shared" si="1374"/>
        <v>2033</v>
      </c>
      <c r="E1404" s="45">
        <f t="shared" si="1538"/>
        <v>1840</v>
      </c>
      <c r="F1404" s="45">
        <f t="shared" si="1539"/>
        <v>428</v>
      </c>
      <c r="G1404" s="79">
        <f t="shared" si="1540"/>
        <v>7371</v>
      </c>
      <c r="H1404" s="199">
        <v>0</v>
      </c>
      <c r="I1404" s="199">
        <v>892</v>
      </c>
      <c r="J1404" s="200">
        <f t="shared" si="1494"/>
        <v>892</v>
      </c>
      <c r="K1404" s="201">
        <f t="shared" si="1495"/>
        <v>-6479</v>
      </c>
      <c r="L1404" s="276">
        <v>80</v>
      </c>
      <c r="M1404" s="276" t="s">
        <v>200</v>
      </c>
      <c r="N1404" s="153">
        <v>218257</v>
      </c>
      <c r="O1404" s="153">
        <v>109869</v>
      </c>
      <c r="P1404" s="153">
        <v>11047</v>
      </c>
      <c r="Q1404" s="153"/>
      <c r="R1404" s="153">
        <v>46131</v>
      </c>
      <c r="S1404" s="154">
        <v>279.2</v>
      </c>
      <c r="T1404" s="154"/>
      <c r="U1404" s="154"/>
      <c r="V1404" s="153">
        <v>316477</v>
      </c>
      <c r="W1404" s="153">
        <v>129332</v>
      </c>
      <c r="X1404" s="153">
        <v>113187</v>
      </c>
      <c r="Y1404" s="153">
        <v>92778</v>
      </c>
      <c r="Z1404" s="153">
        <v>217399</v>
      </c>
    </row>
    <row r="1405" spans="1:26" ht="18" hidden="1" customHeight="1" x14ac:dyDescent="0.2">
      <c r="A1405" s="279">
        <f t="shared" si="1496"/>
        <v>44256</v>
      </c>
      <c r="B1405" s="280" t="s">
        <v>191</v>
      </c>
      <c r="C1405" s="48">
        <f t="shared" si="1537"/>
        <v>0</v>
      </c>
      <c r="D1405" s="84">
        <f t="shared" ref="D1405:D1468" si="1541">(N1406-N1405)*8+(P1406-P1405)*8+(R1406-R1405)*1</f>
        <v>0</v>
      </c>
      <c r="E1405" s="45">
        <f t="shared" si="1538"/>
        <v>0</v>
      </c>
      <c r="F1405" s="45">
        <f t="shared" si="1539"/>
        <v>0</v>
      </c>
      <c r="G1405" s="79">
        <f t="shared" si="1540"/>
        <v>0</v>
      </c>
      <c r="H1405" s="199">
        <v>564</v>
      </c>
      <c r="I1405" s="199">
        <v>361</v>
      </c>
      <c r="J1405" s="200">
        <f t="shared" si="1494"/>
        <v>925</v>
      </c>
      <c r="K1405" s="201">
        <f t="shared" si="1495"/>
        <v>925</v>
      </c>
      <c r="L1405" s="276">
        <v>72</v>
      </c>
      <c r="M1405" s="249">
        <v>0.79166666666666663</v>
      </c>
      <c r="N1405" s="235">
        <v>218507</v>
      </c>
      <c r="O1405" s="235">
        <v>109958</v>
      </c>
      <c r="P1405" s="235">
        <v>11047</v>
      </c>
      <c r="Q1405" s="235"/>
      <c r="R1405" s="235">
        <v>46164</v>
      </c>
      <c r="S1405" s="236">
        <v>302.2</v>
      </c>
      <c r="T1405" s="236"/>
      <c r="U1405" s="236"/>
      <c r="V1405" s="235">
        <v>316971</v>
      </c>
      <c r="W1405" s="235">
        <v>129387</v>
      </c>
      <c r="X1405" s="235">
        <v>113255</v>
      </c>
      <c r="Y1405" s="235">
        <v>92778</v>
      </c>
      <c r="Z1405" s="235">
        <v>217827</v>
      </c>
    </row>
    <row r="1406" spans="1:26" ht="18" hidden="1" customHeight="1" x14ac:dyDescent="0.2">
      <c r="A1406" s="279">
        <f t="shared" si="1496"/>
        <v>44257</v>
      </c>
      <c r="B1406" s="280" t="s">
        <v>192</v>
      </c>
      <c r="C1406" s="48">
        <f t="shared" ref="C1406" si="1542">(V1407-V1406)*1+(W1407-W1406)*32+(X1407-X1406)*12+(Y1407-Y1406)*6</f>
        <v>2191</v>
      </c>
      <c r="D1406" s="84">
        <f t="shared" si="1541"/>
        <v>1047</v>
      </c>
      <c r="E1406" s="45">
        <f t="shared" ref="E1406" si="1543">(S1407-S1406)*80</f>
        <v>1752.0000000000027</v>
      </c>
      <c r="F1406" s="45">
        <f t="shared" ref="F1406" si="1544">(Z1407-Z1406)*1</f>
        <v>122</v>
      </c>
      <c r="G1406" s="79">
        <f t="shared" ref="G1406" si="1545">C1406+D1406+F1406+E1406</f>
        <v>5112.0000000000027</v>
      </c>
      <c r="H1406" s="199">
        <v>4440</v>
      </c>
      <c r="I1406" s="199">
        <v>651</v>
      </c>
      <c r="J1406" s="200">
        <f t="shared" si="1494"/>
        <v>5091</v>
      </c>
      <c r="K1406" s="201">
        <f t="shared" si="1495"/>
        <v>-21.000000000002728</v>
      </c>
      <c r="L1406" s="285">
        <v>426</v>
      </c>
      <c r="M1406" s="249">
        <v>0.45833333333333331</v>
      </c>
      <c r="N1406" s="235">
        <v>218507</v>
      </c>
      <c r="O1406" s="235">
        <v>109958</v>
      </c>
      <c r="P1406" s="235">
        <v>11047</v>
      </c>
      <c r="Q1406" s="235"/>
      <c r="R1406" s="235">
        <v>46164</v>
      </c>
      <c r="S1406" s="236">
        <v>302.2</v>
      </c>
      <c r="T1406" s="236"/>
      <c r="U1406" s="236"/>
      <c r="V1406" s="235">
        <v>316971</v>
      </c>
      <c r="W1406" s="235">
        <v>129387</v>
      </c>
      <c r="X1406" s="235">
        <v>113255</v>
      </c>
      <c r="Y1406" s="235">
        <v>92778</v>
      </c>
      <c r="Z1406" s="235">
        <v>217827</v>
      </c>
    </row>
    <row r="1407" spans="1:26" ht="18" hidden="1" customHeight="1" x14ac:dyDescent="0.2">
      <c r="A1407" s="279">
        <f t="shared" si="1496"/>
        <v>44258</v>
      </c>
      <c r="B1407" s="280" t="s">
        <v>193</v>
      </c>
      <c r="C1407" s="48">
        <f t="shared" ref="C1407" si="1546">(V1408-V1407)*1+(W1408-W1407)*32+(X1408-X1407)*12+(Y1408-Y1407)*6</f>
        <v>2102</v>
      </c>
      <c r="D1407" s="84">
        <f t="shared" si="1541"/>
        <v>1129</v>
      </c>
      <c r="E1407" s="45">
        <f t="shared" ref="E1407" si="1547">(S1408-S1407)*80</f>
        <v>1600</v>
      </c>
      <c r="F1407" s="45">
        <f t="shared" ref="F1407" si="1548">(Z1408-Z1407)*1</f>
        <v>114</v>
      </c>
      <c r="G1407" s="79">
        <f t="shared" ref="G1407" si="1549">C1407+D1407+F1407+E1407</f>
        <v>4945</v>
      </c>
      <c r="H1407" s="199">
        <v>4276</v>
      </c>
      <c r="I1407" s="199">
        <v>822</v>
      </c>
      <c r="J1407" s="200">
        <f t="shared" si="1494"/>
        <v>5098</v>
      </c>
      <c r="K1407" s="201">
        <f t="shared" si="1495"/>
        <v>153</v>
      </c>
      <c r="L1407" s="276">
        <v>415</v>
      </c>
      <c r="M1407" s="249">
        <v>0.42708333333333331</v>
      </c>
      <c r="N1407" s="235">
        <v>218637</v>
      </c>
      <c r="O1407" s="235">
        <v>110007</v>
      </c>
      <c r="P1407" s="235">
        <v>11047</v>
      </c>
      <c r="Q1407" s="235"/>
      <c r="R1407" s="235">
        <v>46171</v>
      </c>
      <c r="S1407" s="236">
        <v>324.10000000000002</v>
      </c>
      <c r="T1407" s="236"/>
      <c r="U1407" s="236"/>
      <c r="V1407" s="235">
        <v>317130</v>
      </c>
      <c r="W1407" s="235">
        <v>129419</v>
      </c>
      <c r="X1407" s="235">
        <v>113339</v>
      </c>
      <c r="Y1407" s="235">
        <v>92778</v>
      </c>
      <c r="Z1407" s="235">
        <v>217949</v>
      </c>
    </row>
    <row r="1408" spans="1:26" ht="18" hidden="1" customHeight="1" x14ac:dyDescent="0.2">
      <c r="A1408" s="279">
        <f t="shared" si="1496"/>
        <v>44259</v>
      </c>
      <c r="B1408" s="280" t="s">
        <v>194</v>
      </c>
      <c r="C1408" s="48">
        <f t="shared" ref="C1408" si="1550">(V1409-V1408)*1+(W1409-W1408)*32+(X1409-X1408)*12+(Y1409-Y1408)*6</f>
        <v>2159</v>
      </c>
      <c r="D1408" s="84">
        <f t="shared" si="1541"/>
        <v>1128</v>
      </c>
      <c r="E1408" s="45">
        <f t="shared" ref="E1408" si="1551">(S1409-S1408)*80</f>
        <v>1440</v>
      </c>
      <c r="F1408" s="45">
        <f t="shared" ref="F1408" si="1552">(Z1409-Z1408)*1</f>
        <v>116</v>
      </c>
      <c r="G1408" s="79">
        <f t="shared" ref="G1408" si="1553">C1408+D1408+F1408+E1408</f>
        <v>4843</v>
      </c>
      <c r="H1408" s="199">
        <v>4209</v>
      </c>
      <c r="I1408" s="199">
        <v>863</v>
      </c>
      <c r="J1408" s="200">
        <f t="shared" si="1494"/>
        <v>5072</v>
      </c>
      <c r="K1408" s="201">
        <f t="shared" si="1495"/>
        <v>229</v>
      </c>
      <c r="L1408" s="276">
        <v>410</v>
      </c>
      <c r="M1408" s="249">
        <v>0.42708333333333331</v>
      </c>
      <c r="N1408" s="235">
        <v>218777</v>
      </c>
      <c r="O1408" s="235">
        <v>110059</v>
      </c>
      <c r="P1408" s="235">
        <v>11047</v>
      </c>
      <c r="Q1408" s="235"/>
      <c r="R1408" s="235">
        <v>46180</v>
      </c>
      <c r="S1408" s="236">
        <v>344.1</v>
      </c>
      <c r="T1408" s="236"/>
      <c r="U1408" s="236"/>
      <c r="V1408" s="235">
        <v>317292</v>
      </c>
      <c r="W1408" s="235">
        <v>129450</v>
      </c>
      <c r="X1408" s="235">
        <v>113418</v>
      </c>
      <c r="Y1408" s="235">
        <v>92778</v>
      </c>
      <c r="Z1408" s="235">
        <v>218063</v>
      </c>
    </row>
    <row r="1409" spans="1:26" ht="18" hidden="1" customHeight="1" x14ac:dyDescent="0.2">
      <c r="A1409" s="279">
        <f t="shared" si="1496"/>
        <v>44260</v>
      </c>
      <c r="B1409" s="278" t="s">
        <v>189</v>
      </c>
      <c r="C1409" s="48">
        <f t="shared" ref="C1409:C1411" si="1554">(V1410-V1409)*1+(W1410-W1409)*32+(X1410-X1409)*12+(Y1410-Y1409)*6</f>
        <v>0</v>
      </c>
      <c r="D1409" s="84">
        <f t="shared" si="1541"/>
        <v>0</v>
      </c>
      <c r="E1409" s="45">
        <f t="shared" ref="E1409:E1411" si="1555">(S1410-S1409)*80</f>
        <v>0</v>
      </c>
      <c r="F1409" s="45">
        <f t="shared" ref="F1409:F1411" si="1556">(Z1410-Z1409)*1</f>
        <v>0</v>
      </c>
      <c r="G1409" s="79">
        <f t="shared" ref="G1409:G1411" si="1557">C1409+D1409+F1409+E1409</f>
        <v>0</v>
      </c>
      <c r="H1409" s="199">
        <v>4081</v>
      </c>
      <c r="I1409" s="199">
        <v>835</v>
      </c>
      <c r="J1409" s="200">
        <f t="shared" si="1494"/>
        <v>4916</v>
      </c>
      <c r="K1409" s="201">
        <f t="shared" si="1495"/>
        <v>4916</v>
      </c>
      <c r="L1409" s="276">
        <v>404</v>
      </c>
      <c r="M1409" s="249">
        <v>0.42708333333333331</v>
      </c>
      <c r="N1409" s="235">
        <v>218917</v>
      </c>
      <c r="O1409" s="235">
        <v>110113</v>
      </c>
      <c r="P1409" s="235">
        <v>11047</v>
      </c>
      <c r="Q1409" s="235"/>
      <c r="R1409" s="235">
        <v>46188</v>
      </c>
      <c r="S1409" s="236">
        <v>362.1</v>
      </c>
      <c r="T1409" s="236"/>
      <c r="U1409" s="236"/>
      <c r="V1409" s="235">
        <v>317439</v>
      </c>
      <c r="W1409" s="235">
        <v>129484</v>
      </c>
      <c r="X1409" s="235">
        <v>113495</v>
      </c>
      <c r="Y1409" s="235">
        <v>92778</v>
      </c>
      <c r="Z1409" s="235">
        <v>218179</v>
      </c>
    </row>
    <row r="1410" spans="1:26" ht="18" hidden="1" customHeight="1" x14ac:dyDescent="0.2">
      <c r="A1410" s="279">
        <f t="shared" si="1496"/>
        <v>44261</v>
      </c>
      <c r="B1410" s="279" t="s">
        <v>195</v>
      </c>
      <c r="C1410" s="48">
        <f t="shared" si="1554"/>
        <v>0</v>
      </c>
      <c r="D1410" s="84">
        <f t="shared" si="1541"/>
        <v>0</v>
      </c>
      <c r="E1410" s="45">
        <f t="shared" si="1555"/>
        <v>0</v>
      </c>
      <c r="F1410" s="45">
        <f t="shared" si="1556"/>
        <v>0</v>
      </c>
      <c r="G1410" s="79">
        <f t="shared" si="1557"/>
        <v>0</v>
      </c>
      <c r="H1410" s="199">
        <v>0</v>
      </c>
      <c r="I1410" s="199">
        <f>1047+641</f>
        <v>1688</v>
      </c>
      <c r="J1410" s="200">
        <f t="shared" ref="J1410:J1437" si="1558">H1410+I1410</f>
        <v>1688</v>
      </c>
      <c r="K1410" s="201">
        <f t="shared" ref="K1410:K1437" si="1559">J1410-G1410</f>
        <v>1688</v>
      </c>
      <c r="L1410" s="276">
        <v>78</v>
      </c>
      <c r="M1410" s="249">
        <v>0.6875</v>
      </c>
      <c r="N1410" s="153">
        <v>218917</v>
      </c>
      <c r="O1410" s="153">
        <v>110113</v>
      </c>
      <c r="P1410" s="153">
        <v>11047</v>
      </c>
      <c r="Q1410" s="153"/>
      <c r="R1410" s="153">
        <v>46188</v>
      </c>
      <c r="S1410" s="154">
        <v>362.1</v>
      </c>
      <c r="T1410" s="154"/>
      <c r="U1410" s="154"/>
      <c r="V1410" s="153">
        <v>317439</v>
      </c>
      <c r="W1410" s="153">
        <v>129484</v>
      </c>
      <c r="X1410" s="153">
        <v>113495</v>
      </c>
      <c r="Y1410" s="153">
        <v>92778</v>
      </c>
      <c r="Z1410" s="153">
        <v>218179</v>
      </c>
    </row>
    <row r="1411" spans="1:26" ht="18" hidden="1" customHeight="1" x14ac:dyDescent="0.2">
      <c r="A1411" s="279">
        <f t="shared" si="1496"/>
        <v>44262</v>
      </c>
      <c r="B1411" s="278" t="s">
        <v>190</v>
      </c>
      <c r="C1411" s="48">
        <f t="shared" si="1554"/>
        <v>2910</v>
      </c>
      <c r="D1411" s="84">
        <f t="shared" si="1541"/>
        <v>3064</v>
      </c>
      <c r="E1411" s="45">
        <f t="shared" si="1555"/>
        <v>1967.9999999999973</v>
      </c>
      <c r="F1411" s="45">
        <f t="shared" si="1556"/>
        <v>333</v>
      </c>
      <c r="G1411" s="79">
        <f t="shared" si="1557"/>
        <v>8274.9999999999964</v>
      </c>
      <c r="H1411" s="199">
        <v>0</v>
      </c>
      <c r="I1411" s="199">
        <v>1988</v>
      </c>
      <c r="J1411" s="200">
        <f t="shared" si="1558"/>
        <v>1988</v>
      </c>
      <c r="K1411" s="201">
        <f t="shared" si="1559"/>
        <v>-6286.9999999999964</v>
      </c>
      <c r="L1411" s="276">
        <v>115</v>
      </c>
      <c r="M1411" s="249">
        <v>0.97916666666666663</v>
      </c>
      <c r="N1411" s="153">
        <v>218917</v>
      </c>
      <c r="O1411" s="153">
        <v>110113</v>
      </c>
      <c r="P1411" s="153">
        <v>11047</v>
      </c>
      <c r="Q1411" s="153"/>
      <c r="R1411" s="153">
        <v>46188</v>
      </c>
      <c r="S1411" s="154">
        <v>362.1</v>
      </c>
      <c r="T1411" s="154"/>
      <c r="U1411" s="154"/>
      <c r="V1411" s="153">
        <v>317439</v>
      </c>
      <c r="W1411" s="153">
        <v>129484</v>
      </c>
      <c r="X1411" s="153">
        <v>113495</v>
      </c>
      <c r="Y1411" s="153">
        <v>92778</v>
      </c>
      <c r="Z1411" s="153">
        <v>218179</v>
      </c>
    </row>
    <row r="1412" spans="1:26" ht="18" hidden="1" customHeight="1" x14ac:dyDescent="0.2">
      <c r="A1412" s="279">
        <f t="shared" si="1496"/>
        <v>44263</v>
      </c>
      <c r="B1412" s="280" t="s">
        <v>191</v>
      </c>
      <c r="C1412" s="48">
        <f t="shared" ref="C1412" si="1560">(V1413-V1412)*1+(W1413-W1412)*32+(X1413-X1412)*12+(Y1413-Y1412)*6</f>
        <v>2211</v>
      </c>
      <c r="D1412" s="84">
        <f t="shared" si="1541"/>
        <v>1288</v>
      </c>
      <c r="E1412" s="45">
        <f t="shared" ref="E1412" si="1561">(S1413-S1412)*80</f>
        <v>1592.0000000000027</v>
      </c>
      <c r="F1412" s="45">
        <f t="shared" ref="F1412" si="1562">(Z1413-Z1412)*1</f>
        <v>118</v>
      </c>
      <c r="G1412" s="79">
        <f t="shared" ref="G1412" si="1563">C1412+D1412+F1412+E1412</f>
        <v>5209.0000000000027</v>
      </c>
      <c r="H1412" s="199">
        <v>4507</v>
      </c>
      <c r="I1412" s="199">
        <v>1001</v>
      </c>
      <c r="J1412" s="200">
        <f t="shared" si="1558"/>
        <v>5508</v>
      </c>
      <c r="K1412" s="201">
        <f t="shared" si="1559"/>
        <v>298.99999999999727</v>
      </c>
      <c r="L1412" s="276">
        <v>442</v>
      </c>
      <c r="M1412" s="249">
        <v>0.47916666666666669</v>
      </c>
      <c r="N1412" s="235">
        <v>219297</v>
      </c>
      <c r="O1412" s="235">
        <v>110251</v>
      </c>
      <c r="P1412" s="235">
        <v>11047</v>
      </c>
      <c r="Q1412" s="235"/>
      <c r="R1412" s="235">
        <v>46212</v>
      </c>
      <c r="S1412" s="236">
        <v>386.7</v>
      </c>
      <c r="T1412" s="236"/>
      <c r="U1412" s="236"/>
      <c r="V1412" s="235">
        <v>317837</v>
      </c>
      <c r="W1412" s="235">
        <v>129534</v>
      </c>
      <c r="X1412" s="235">
        <v>113571</v>
      </c>
      <c r="Y1412" s="235">
        <v>92778</v>
      </c>
      <c r="Z1412" s="235">
        <v>218512</v>
      </c>
    </row>
    <row r="1413" spans="1:26" ht="18" hidden="1" customHeight="1" x14ac:dyDescent="0.2">
      <c r="A1413" s="279">
        <f t="shared" si="1496"/>
        <v>44264</v>
      </c>
      <c r="B1413" s="280" t="s">
        <v>192</v>
      </c>
      <c r="C1413" s="48">
        <f>(V1414-V1413)*1+(W1414-W1413)*32+(X1414-X1413)*12+(Y1414-Y1413)*6</f>
        <v>1948</v>
      </c>
      <c r="D1413" s="84">
        <f t="shared" si="1541"/>
        <v>1297</v>
      </c>
      <c r="E1413" s="45">
        <f>(S1414-S1413)*80</f>
        <v>1543.9999999999964</v>
      </c>
      <c r="F1413" s="45">
        <f>(Z1414-Z1413)*1</f>
        <v>93</v>
      </c>
      <c r="G1413" s="79">
        <f>C1413+D1413+F1413+E1413</f>
        <v>4881.9999999999964</v>
      </c>
      <c r="H1413" s="199">
        <v>4258</v>
      </c>
      <c r="I1413" s="199">
        <v>954</v>
      </c>
      <c r="J1413" s="200">
        <f t="shared" si="1558"/>
        <v>5212</v>
      </c>
      <c r="K1413" s="201">
        <f t="shared" si="1559"/>
        <v>330.00000000000364</v>
      </c>
      <c r="L1413" s="276">
        <v>445</v>
      </c>
      <c r="M1413" s="249">
        <v>0.39583333333333331</v>
      </c>
      <c r="N1413" s="235">
        <v>219457</v>
      </c>
      <c r="O1413" s="235">
        <v>110315</v>
      </c>
      <c r="P1413" s="235">
        <v>11047</v>
      </c>
      <c r="Q1413" s="235"/>
      <c r="R1413" s="235">
        <v>46220</v>
      </c>
      <c r="S1413" s="236">
        <v>406.6</v>
      </c>
      <c r="T1413" s="236"/>
      <c r="U1413" s="236"/>
      <c r="V1413" s="235">
        <v>317984</v>
      </c>
      <c r="W1413" s="235">
        <v>129567</v>
      </c>
      <c r="X1413" s="235">
        <v>113655</v>
      </c>
      <c r="Y1413" s="235">
        <v>92778</v>
      </c>
      <c r="Z1413" s="235">
        <v>218630</v>
      </c>
    </row>
    <row r="1414" spans="1:26" ht="18" hidden="1" customHeight="1" x14ac:dyDescent="0.2">
      <c r="A1414" s="279">
        <f t="shared" si="1496"/>
        <v>44265</v>
      </c>
      <c r="B1414" s="280" t="s">
        <v>193</v>
      </c>
      <c r="C1414" s="48">
        <f>(V1415-V1414)*1+(W1415-W1414)*32+(X1415-X1414)*12+(Y1415-Y1414)*6</f>
        <v>2288</v>
      </c>
      <c r="D1414" s="84">
        <f t="shared" si="1541"/>
        <v>1384</v>
      </c>
      <c r="E1414" s="45">
        <f>(S1415-S1414)*80</f>
        <v>1768.0000000000018</v>
      </c>
      <c r="F1414" s="45">
        <f>(Z1415-Z1414)*1</f>
        <v>95</v>
      </c>
      <c r="G1414" s="79">
        <f>C1414+D1414+F1414+E1414</f>
        <v>5535.0000000000018</v>
      </c>
      <c r="H1414" s="199">
        <v>4505</v>
      </c>
      <c r="I1414" s="199">
        <v>940</v>
      </c>
      <c r="J1414" s="200">
        <f t="shared" si="1558"/>
        <v>5445</v>
      </c>
      <c r="K1414" s="201">
        <f t="shared" si="1559"/>
        <v>-90.000000000001819</v>
      </c>
      <c r="L1414" s="276">
        <v>423</v>
      </c>
      <c r="M1414" s="249">
        <v>0.60416666666666663</v>
      </c>
      <c r="N1414" s="235">
        <v>219617</v>
      </c>
      <c r="O1414" s="235">
        <v>110373</v>
      </c>
      <c r="P1414" s="235">
        <v>11047</v>
      </c>
      <c r="Q1414" s="235"/>
      <c r="R1414" s="235">
        <v>46237</v>
      </c>
      <c r="S1414" s="236">
        <v>425.9</v>
      </c>
      <c r="T1414" s="236"/>
      <c r="U1414" s="236"/>
      <c r="V1414" s="235">
        <v>318128</v>
      </c>
      <c r="W1414" s="235">
        <v>129599</v>
      </c>
      <c r="X1414" s="235">
        <v>113720</v>
      </c>
      <c r="Y1414" s="235">
        <v>92778</v>
      </c>
      <c r="Z1414" s="235">
        <v>218723</v>
      </c>
    </row>
    <row r="1415" spans="1:26" ht="18" hidden="1" customHeight="1" x14ac:dyDescent="0.2">
      <c r="A1415" s="279">
        <f t="shared" si="1496"/>
        <v>44266</v>
      </c>
      <c r="B1415" s="280" t="s">
        <v>194</v>
      </c>
      <c r="C1415" s="48">
        <f>(V1416-V1415)*1+(W1416-W1415)*32+(X1416-X1415)*12+(Y1416-Y1415)*6</f>
        <v>1988</v>
      </c>
      <c r="D1415" s="84">
        <f t="shared" si="1541"/>
        <v>2073</v>
      </c>
      <c r="E1415" s="45">
        <f>(S1416-S1415)*80</f>
        <v>1671.9999999999982</v>
      </c>
      <c r="F1415" s="45">
        <f>(Z1416-Z1415)*1</f>
        <v>104</v>
      </c>
      <c r="G1415" s="79">
        <f>C1415+D1415+F1415+E1415</f>
        <v>5836.9999999999982</v>
      </c>
      <c r="H1415" s="199">
        <v>4364</v>
      </c>
      <c r="I1415" s="199">
        <v>1045</v>
      </c>
      <c r="J1415" s="200">
        <f t="shared" si="1558"/>
        <v>5409</v>
      </c>
      <c r="K1415" s="201">
        <f t="shared" si="1559"/>
        <v>-427.99999999999818</v>
      </c>
      <c r="L1415" s="285">
        <v>429</v>
      </c>
      <c r="M1415" s="249">
        <v>0.39583333333333331</v>
      </c>
      <c r="N1415" s="235">
        <v>219789</v>
      </c>
      <c r="O1415" s="235">
        <v>110436</v>
      </c>
      <c r="P1415" s="235">
        <v>11047</v>
      </c>
      <c r="Q1415" s="235"/>
      <c r="R1415" s="235">
        <v>46245</v>
      </c>
      <c r="S1415" s="236">
        <v>448</v>
      </c>
      <c r="T1415" s="236"/>
      <c r="U1415" s="236"/>
      <c r="V1415" s="235">
        <v>318280</v>
      </c>
      <c r="W1415" s="235">
        <v>129632</v>
      </c>
      <c r="X1415" s="235">
        <v>113810</v>
      </c>
      <c r="Y1415" s="235">
        <v>92778</v>
      </c>
      <c r="Z1415" s="235">
        <v>218818</v>
      </c>
    </row>
    <row r="1416" spans="1:26" ht="18" hidden="1" customHeight="1" x14ac:dyDescent="0.2">
      <c r="A1416" s="279">
        <f t="shared" si="1496"/>
        <v>44267</v>
      </c>
      <c r="B1416" s="278" t="s">
        <v>189</v>
      </c>
      <c r="C1416" s="48">
        <f t="shared" ref="C1416:C1418" si="1564">(V1417-V1416)*1+(W1417-W1416)*32+(X1417-X1416)*12+(Y1417-Y1416)*6</f>
        <v>0</v>
      </c>
      <c r="D1416" s="84">
        <f t="shared" si="1541"/>
        <v>0</v>
      </c>
      <c r="E1416" s="45">
        <f t="shared" ref="E1416:E1418" si="1565">(S1417-S1416)*80</f>
        <v>0</v>
      </c>
      <c r="F1416" s="45">
        <f t="shared" ref="F1416:F1418" si="1566">(Z1417-Z1416)*1</f>
        <v>0</v>
      </c>
      <c r="G1416" s="79">
        <f t="shared" ref="G1416:G1418" si="1567">C1416+D1416+F1416+E1416</f>
        <v>0</v>
      </c>
      <c r="H1416" s="199">
        <v>4141</v>
      </c>
      <c r="I1416" s="199">
        <v>939</v>
      </c>
      <c r="J1416" s="200">
        <f t="shared" si="1558"/>
        <v>5080</v>
      </c>
      <c r="K1416" s="201">
        <f t="shared" si="1559"/>
        <v>5080</v>
      </c>
      <c r="L1416" s="276">
        <v>409</v>
      </c>
      <c r="M1416" s="249">
        <v>0.40625</v>
      </c>
      <c r="N1416" s="235">
        <v>220047</v>
      </c>
      <c r="O1416" s="235">
        <v>110497</v>
      </c>
      <c r="P1416" s="235">
        <v>11047</v>
      </c>
      <c r="Q1416" s="235"/>
      <c r="R1416" s="235">
        <v>46254</v>
      </c>
      <c r="S1416" s="236">
        <v>468.9</v>
      </c>
      <c r="T1416" s="236"/>
      <c r="U1416" s="236"/>
      <c r="V1416" s="235">
        <v>318436</v>
      </c>
      <c r="W1416" s="235">
        <v>129666</v>
      </c>
      <c r="X1416" s="235">
        <v>113872</v>
      </c>
      <c r="Y1416" s="235">
        <v>92778</v>
      </c>
      <c r="Z1416" s="235">
        <v>218922</v>
      </c>
    </row>
    <row r="1417" spans="1:26" ht="18" hidden="1" customHeight="1" x14ac:dyDescent="0.2">
      <c r="A1417" s="279">
        <f t="shared" si="1496"/>
        <v>44268</v>
      </c>
      <c r="B1417" s="279" t="s">
        <v>195</v>
      </c>
      <c r="C1417" s="48">
        <f t="shared" si="1564"/>
        <v>0</v>
      </c>
      <c r="D1417" s="84">
        <f t="shared" si="1541"/>
        <v>0</v>
      </c>
      <c r="E1417" s="45">
        <f t="shared" si="1565"/>
        <v>0</v>
      </c>
      <c r="F1417" s="45">
        <f t="shared" si="1566"/>
        <v>0</v>
      </c>
      <c r="G1417" s="79">
        <f t="shared" si="1567"/>
        <v>0</v>
      </c>
      <c r="H1417" s="199">
        <v>0</v>
      </c>
      <c r="I1417" s="199">
        <f>1380+769</f>
        <v>2149</v>
      </c>
      <c r="J1417" s="200">
        <f t="shared" si="1558"/>
        <v>2149</v>
      </c>
      <c r="K1417" s="201">
        <f t="shared" si="1559"/>
        <v>2149</v>
      </c>
      <c r="L1417" s="276">
        <v>136</v>
      </c>
      <c r="M1417" s="249">
        <v>0.44791666666666669</v>
      </c>
      <c r="N1417" s="153">
        <v>220047</v>
      </c>
      <c r="O1417" s="153">
        <v>110497</v>
      </c>
      <c r="P1417" s="153">
        <v>11047</v>
      </c>
      <c r="Q1417" s="153"/>
      <c r="R1417" s="153">
        <v>46254</v>
      </c>
      <c r="S1417" s="154">
        <v>468.9</v>
      </c>
      <c r="T1417" s="154"/>
      <c r="U1417" s="154"/>
      <c r="V1417" s="153">
        <v>318436</v>
      </c>
      <c r="W1417" s="153">
        <v>129666</v>
      </c>
      <c r="X1417" s="153">
        <v>113872</v>
      </c>
      <c r="Y1417" s="153">
        <v>92778</v>
      </c>
      <c r="Z1417" s="153">
        <v>218922</v>
      </c>
    </row>
    <row r="1418" spans="1:26" ht="18" hidden="1" customHeight="1" x14ac:dyDescent="0.2">
      <c r="A1418" s="279">
        <f t="shared" si="1496"/>
        <v>44269</v>
      </c>
      <c r="B1418" s="278" t="s">
        <v>190</v>
      </c>
      <c r="C1418" s="48">
        <f t="shared" si="1564"/>
        <v>2514</v>
      </c>
      <c r="D1418" s="84">
        <f t="shared" si="1541"/>
        <v>2163</v>
      </c>
      <c r="E1418" s="45">
        <f t="shared" si="1565"/>
        <v>2832.0000000000027</v>
      </c>
      <c r="F1418" s="45">
        <f t="shared" si="1566"/>
        <v>285</v>
      </c>
      <c r="G1418" s="79">
        <f t="shared" si="1567"/>
        <v>7794.0000000000027</v>
      </c>
      <c r="H1418" s="199">
        <v>0</v>
      </c>
      <c r="I1418" s="199">
        <v>1865</v>
      </c>
      <c r="J1418" s="200">
        <f t="shared" si="1558"/>
        <v>1865</v>
      </c>
      <c r="K1418" s="201">
        <f t="shared" si="1559"/>
        <v>-5929.0000000000027</v>
      </c>
      <c r="L1418" s="276">
        <v>107</v>
      </c>
      <c r="M1418" s="249">
        <v>0.95833333333333337</v>
      </c>
      <c r="N1418" s="153">
        <v>220047</v>
      </c>
      <c r="O1418" s="153">
        <v>110497</v>
      </c>
      <c r="P1418" s="153">
        <v>11047</v>
      </c>
      <c r="Q1418" s="153"/>
      <c r="R1418" s="153">
        <v>46254</v>
      </c>
      <c r="S1418" s="154">
        <v>468.9</v>
      </c>
      <c r="T1418" s="154"/>
      <c r="U1418" s="154"/>
      <c r="V1418" s="153">
        <v>318436</v>
      </c>
      <c r="W1418" s="153">
        <v>129666</v>
      </c>
      <c r="X1418" s="153">
        <v>113872</v>
      </c>
      <c r="Y1418" s="153">
        <v>92778</v>
      </c>
      <c r="Z1418" s="153">
        <v>218922</v>
      </c>
    </row>
    <row r="1419" spans="1:26" ht="18" hidden="1" customHeight="1" x14ac:dyDescent="0.2">
      <c r="A1419" s="279">
        <f t="shared" si="1496"/>
        <v>44270</v>
      </c>
      <c r="B1419" s="280" t="s">
        <v>191</v>
      </c>
      <c r="C1419" s="48">
        <f t="shared" ref="C1419" si="1568">(V1420-V1419)*1+(W1420-W1419)*32+(X1420-X1419)*12+(Y1420-Y1419)*6</f>
        <v>2141</v>
      </c>
      <c r="D1419" s="84">
        <f t="shared" si="1541"/>
        <v>1237</v>
      </c>
      <c r="E1419" s="45">
        <f t="shared" ref="E1419" si="1569">(S1420-S1419)*80</f>
        <v>1815.9999999999991</v>
      </c>
      <c r="F1419" s="45">
        <f t="shared" ref="F1419" si="1570">(Z1420-Z1419)*1</f>
        <v>83</v>
      </c>
      <c r="G1419" s="79">
        <f t="shared" ref="G1419" si="1571">C1419+D1419+F1419+E1419</f>
        <v>5276.9999999999991</v>
      </c>
      <c r="H1419" s="199">
        <v>4521</v>
      </c>
      <c r="I1419" s="199">
        <v>927</v>
      </c>
      <c r="J1419" s="200">
        <f t="shared" si="1558"/>
        <v>5448</v>
      </c>
      <c r="K1419" s="201">
        <f t="shared" si="1559"/>
        <v>171.00000000000091</v>
      </c>
      <c r="L1419" s="285">
        <v>450</v>
      </c>
      <c r="M1419" s="249">
        <v>0.45833333333333331</v>
      </c>
      <c r="N1419" s="235">
        <v>220317</v>
      </c>
      <c r="O1419" s="235">
        <v>110630</v>
      </c>
      <c r="P1419" s="235">
        <v>11047</v>
      </c>
      <c r="Q1419" s="235"/>
      <c r="R1419" s="235">
        <v>46257</v>
      </c>
      <c r="S1419" s="236">
        <v>504.3</v>
      </c>
      <c r="T1419" s="236"/>
      <c r="U1419" s="236"/>
      <c r="V1419" s="235">
        <v>318810</v>
      </c>
      <c r="W1419" s="235">
        <v>129710</v>
      </c>
      <c r="X1419" s="235">
        <v>113933</v>
      </c>
      <c r="Y1419" s="235">
        <v>92778</v>
      </c>
      <c r="Z1419" s="235">
        <v>219207</v>
      </c>
    </row>
    <row r="1420" spans="1:26" ht="18" hidden="1" customHeight="1" x14ac:dyDescent="0.2">
      <c r="A1420" s="279">
        <f t="shared" si="1496"/>
        <v>44271</v>
      </c>
      <c r="B1420" s="280" t="s">
        <v>192</v>
      </c>
      <c r="C1420" s="48">
        <f t="shared" ref="C1420" si="1572">(V1421-V1420)*1+(W1421-W1420)*32+(X1421-X1420)*12+(Y1421-Y1420)*6</f>
        <v>1977</v>
      </c>
      <c r="D1420" s="84">
        <f t="shared" si="1541"/>
        <v>1290</v>
      </c>
      <c r="E1420" s="45">
        <f t="shared" ref="E1420" si="1573">(S1421-S1420)*80</f>
        <v>1583.9999999999964</v>
      </c>
      <c r="F1420" s="45">
        <f t="shared" ref="F1420" si="1574">(Z1421-Z1420)*1</f>
        <v>68</v>
      </c>
      <c r="G1420" s="79">
        <f t="shared" ref="G1420" si="1575">C1420+D1420+F1420+E1420</f>
        <v>4918.9999999999964</v>
      </c>
      <c r="H1420" s="199">
        <v>4224</v>
      </c>
      <c r="I1420" s="199">
        <v>886</v>
      </c>
      <c r="J1420" s="200">
        <f t="shared" si="1558"/>
        <v>5110</v>
      </c>
      <c r="K1420" s="201">
        <f t="shared" si="1559"/>
        <v>191.00000000000364</v>
      </c>
      <c r="L1420" s="285">
        <v>475</v>
      </c>
      <c r="M1420" s="249">
        <v>0.39583333333333331</v>
      </c>
      <c r="N1420" s="235">
        <v>220467</v>
      </c>
      <c r="O1420" s="235">
        <v>110690</v>
      </c>
      <c r="P1420" s="235">
        <v>11047</v>
      </c>
      <c r="Q1420" s="235"/>
      <c r="R1420" s="235">
        <v>46294</v>
      </c>
      <c r="S1420" s="236">
        <v>527</v>
      </c>
      <c r="T1420" s="236"/>
      <c r="U1420" s="236"/>
      <c r="V1420" s="235">
        <v>318951</v>
      </c>
      <c r="W1420" s="235">
        <v>129744</v>
      </c>
      <c r="X1420" s="235">
        <v>114009</v>
      </c>
      <c r="Y1420" s="235">
        <v>92778</v>
      </c>
      <c r="Z1420" s="235">
        <v>219290</v>
      </c>
    </row>
    <row r="1421" spans="1:26" ht="18" hidden="1" customHeight="1" x14ac:dyDescent="0.2">
      <c r="A1421" s="279">
        <f t="shared" si="1496"/>
        <v>44272</v>
      </c>
      <c r="B1421" s="280" t="s">
        <v>193</v>
      </c>
      <c r="C1421" s="48">
        <f t="shared" ref="C1421" si="1576">(V1422-V1421)*1+(W1422-W1421)*32+(X1422-X1421)*12+(Y1422-Y1421)*6</f>
        <v>2096</v>
      </c>
      <c r="D1421" s="84">
        <f t="shared" si="1541"/>
        <v>1289</v>
      </c>
      <c r="E1421" s="45">
        <f t="shared" ref="E1421" si="1577">(S1422-S1421)*80</f>
        <v>1688.0000000000018</v>
      </c>
      <c r="F1421" s="45">
        <f t="shared" ref="F1421" si="1578">(Z1422-Z1421)*1</f>
        <v>87</v>
      </c>
      <c r="G1421" s="79">
        <f t="shared" ref="G1421" si="1579">C1421+D1421+F1421+E1421</f>
        <v>5160.0000000000018</v>
      </c>
      <c r="H1421" s="199">
        <v>4247</v>
      </c>
      <c r="I1421" s="199">
        <v>924</v>
      </c>
      <c r="J1421" s="200">
        <f t="shared" si="1558"/>
        <v>5171</v>
      </c>
      <c r="K1421" s="201">
        <f t="shared" si="1559"/>
        <v>10.999999999998181</v>
      </c>
      <c r="L1421" s="285">
        <v>429</v>
      </c>
      <c r="M1421" s="249">
        <v>0.44791666666666669</v>
      </c>
      <c r="N1421" s="235">
        <v>220627</v>
      </c>
      <c r="O1421" s="235">
        <v>110747</v>
      </c>
      <c r="P1421" s="235">
        <v>11047</v>
      </c>
      <c r="Q1421" s="235"/>
      <c r="R1421" s="235">
        <v>46304</v>
      </c>
      <c r="S1421" s="236">
        <v>546.79999999999995</v>
      </c>
      <c r="T1421" s="236"/>
      <c r="U1421" s="236"/>
      <c r="V1421" s="235">
        <v>319112</v>
      </c>
      <c r="W1421" s="235">
        <v>129779</v>
      </c>
      <c r="X1421" s="235">
        <v>114067</v>
      </c>
      <c r="Y1421" s="235">
        <v>92778</v>
      </c>
      <c r="Z1421" s="235">
        <v>219358</v>
      </c>
    </row>
    <row r="1422" spans="1:26" ht="18" hidden="1" customHeight="1" x14ac:dyDescent="0.2">
      <c r="A1422" s="279">
        <f t="shared" si="1496"/>
        <v>44273</v>
      </c>
      <c r="B1422" s="280" t="s">
        <v>194</v>
      </c>
      <c r="C1422" s="48">
        <f t="shared" ref="C1422" si="1580">(V1423-V1422)*1+(W1423-W1422)*32+(X1423-X1422)*12+(Y1423-Y1422)*6</f>
        <v>2270</v>
      </c>
      <c r="D1422" s="84">
        <f t="shared" si="1541"/>
        <v>1206</v>
      </c>
      <c r="E1422" s="45">
        <f t="shared" ref="E1422" si="1581">(S1423-S1422)*80</f>
        <v>1024.0000000000055</v>
      </c>
      <c r="F1422" s="45">
        <f t="shared" ref="F1422" si="1582">(Z1423-Z1422)*1</f>
        <v>79</v>
      </c>
      <c r="G1422" s="79">
        <f t="shared" ref="G1422" si="1583">C1422+D1422+F1422+E1422</f>
        <v>4579.0000000000055</v>
      </c>
      <c r="H1422" s="199">
        <v>3707</v>
      </c>
      <c r="I1422" s="199">
        <v>1131</v>
      </c>
      <c r="J1422" s="200">
        <f t="shared" si="1558"/>
        <v>4838</v>
      </c>
      <c r="K1422" s="201">
        <f t="shared" si="1559"/>
        <v>258.99999999999454</v>
      </c>
      <c r="L1422" s="285">
        <v>430</v>
      </c>
      <c r="M1422" s="249">
        <v>0.40625</v>
      </c>
      <c r="N1422" s="235">
        <v>220787</v>
      </c>
      <c r="O1422" s="235">
        <v>110808</v>
      </c>
      <c r="P1422" s="235">
        <v>11047</v>
      </c>
      <c r="Q1422" s="235"/>
      <c r="R1422" s="235">
        <v>46313</v>
      </c>
      <c r="S1422" s="236">
        <v>567.9</v>
      </c>
      <c r="T1422" s="236"/>
      <c r="U1422" s="236"/>
      <c r="V1422" s="235">
        <v>319288</v>
      </c>
      <c r="W1422" s="235">
        <v>129818</v>
      </c>
      <c r="X1422" s="235">
        <v>114123</v>
      </c>
      <c r="Y1422" s="235">
        <v>92778</v>
      </c>
      <c r="Z1422" s="235">
        <v>219445</v>
      </c>
    </row>
    <row r="1423" spans="1:26" ht="18" hidden="1" customHeight="1" x14ac:dyDescent="0.2">
      <c r="A1423" s="279">
        <f t="shared" si="1496"/>
        <v>44274</v>
      </c>
      <c r="B1423" s="278" t="s">
        <v>189</v>
      </c>
      <c r="C1423" s="48">
        <f t="shared" ref="C1423:C1425" si="1584">(V1424-V1423)*1+(W1424-W1423)*32+(X1424-X1423)*12+(Y1424-Y1423)*6</f>
        <v>0</v>
      </c>
      <c r="D1423" s="84">
        <f t="shared" si="1541"/>
        <v>0</v>
      </c>
      <c r="E1423" s="45">
        <f t="shared" ref="E1423:E1425" si="1585">(S1424-S1423)*80</f>
        <v>0</v>
      </c>
      <c r="F1423" s="45">
        <f t="shared" ref="F1423:F1425" si="1586">(Z1424-Z1423)*1</f>
        <v>0</v>
      </c>
      <c r="G1423" s="79">
        <f t="shared" ref="G1423:G1425" si="1587">C1423+D1423+F1423+E1423</f>
        <v>0</v>
      </c>
      <c r="H1423" s="199">
        <v>4390</v>
      </c>
      <c r="I1423" s="199">
        <v>1057</v>
      </c>
      <c r="J1423" s="200">
        <f t="shared" si="1558"/>
        <v>5447</v>
      </c>
      <c r="K1423" s="201">
        <f t="shared" si="1559"/>
        <v>5447</v>
      </c>
      <c r="L1423" s="285">
        <v>435</v>
      </c>
      <c r="M1423" s="249">
        <v>0.5</v>
      </c>
      <c r="N1423" s="235">
        <v>220937</v>
      </c>
      <c r="O1423" s="235">
        <v>110866</v>
      </c>
      <c r="P1423" s="235">
        <v>11047</v>
      </c>
      <c r="Q1423" s="235"/>
      <c r="R1423" s="235">
        <v>46319</v>
      </c>
      <c r="S1423" s="236">
        <v>580.70000000000005</v>
      </c>
      <c r="T1423" s="236"/>
      <c r="U1423" s="236"/>
      <c r="V1423" s="235">
        <v>319470</v>
      </c>
      <c r="W1423" s="235">
        <v>129857</v>
      </c>
      <c r="X1423" s="235">
        <v>114193</v>
      </c>
      <c r="Y1423" s="235">
        <v>92778</v>
      </c>
      <c r="Z1423" s="235">
        <v>219524</v>
      </c>
    </row>
    <row r="1424" spans="1:26" ht="18" hidden="1" customHeight="1" x14ac:dyDescent="0.2">
      <c r="A1424" s="279">
        <f t="shared" si="1496"/>
        <v>44275</v>
      </c>
      <c r="B1424" s="279" t="s">
        <v>195</v>
      </c>
      <c r="C1424" s="48">
        <f t="shared" si="1584"/>
        <v>0</v>
      </c>
      <c r="D1424" s="84">
        <f t="shared" si="1541"/>
        <v>0</v>
      </c>
      <c r="E1424" s="45">
        <f t="shared" si="1585"/>
        <v>0</v>
      </c>
      <c r="F1424" s="45">
        <f t="shared" si="1586"/>
        <v>0</v>
      </c>
      <c r="G1424" s="79">
        <f t="shared" si="1587"/>
        <v>0</v>
      </c>
      <c r="H1424" s="199">
        <v>0</v>
      </c>
      <c r="I1424" s="199">
        <f>2145+754</f>
        <v>2899</v>
      </c>
      <c r="J1424" s="200">
        <f t="shared" si="1558"/>
        <v>2899</v>
      </c>
      <c r="K1424" s="201">
        <f t="shared" si="1559"/>
        <v>2899</v>
      </c>
      <c r="L1424" s="276">
        <v>220</v>
      </c>
      <c r="M1424" s="249">
        <v>0.58333333333333337</v>
      </c>
      <c r="N1424" s="153">
        <v>220937</v>
      </c>
      <c r="O1424" s="153">
        <v>110866</v>
      </c>
      <c r="P1424" s="153">
        <v>11047</v>
      </c>
      <c r="Q1424" s="153"/>
      <c r="R1424" s="153">
        <v>46319</v>
      </c>
      <c r="S1424" s="154">
        <v>580.70000000000005</v>
      </c>
      <c r="T1424" s="154"/>
      <c r="U1424" s="154"/>
      <c r="V1424" s="153">
        <v>319470</v>
      </c>
      <c r="W1424" s="153">
        <v>129857</v>
      </c>
      <c r="X1424" s="153">
        <v>114193</v>
      </c>
      <c r="Y1424" s="153">
        <v>92778</v>
      </c>
      <c r="Z1424" s="153">
        <v>219524</v>
      </c>
    </row>
    <row r="1425" spans="1:26" ht="18" hidden="1" customHeight="1" x14ac:dyDescent="0.2">
      <c r="A1425" s="279">
        <f t="shared" si="1496"/>
        <v>44276</v>
      </c>
      <c r="B1425" s="278" t="s">
        <v>190</v>
      </c>
      <c r="C1425" s="48">
        <f t="shared" si="1584"/>
        <v>2990</v>
      </c>
      <c r="D1425" s="84">
        <f t="shared" si="1541"/>
        <v>2107</v>
      </c>
      <c r="E1425" s="45">
        <f t="shared" si="1585"/>
        <v>3480</v>
      </c>
      <c r="F1425" s="45">
        <f t="shared" si="1586"/>
        <v>167</v>
      </c>
      <c r="G1425" s="79">
        <f t="shared" si="1587"/>
        <v>8744</v>
      </c>
      <c r="H1425" s="199">
        <v>0</v>
      </c>
      <c r="I1425" s="199">
        <v>1378</v>
      </c>
      <c r="J1425" s="200">
        <f t="shared" si="1558"/>
        <v>1378</v>
      </c>
      <c r="K1425" s="201">
        <f t="shared" si="1559"/>
        <v>-7366</v>
      </c>
      <c r="L1425" s="276">
        <v>84</v>
      </c>
      <c r="M1425" s="249">
        <v>8.3333333333333329E-2</v>
      </c>
      <c r="N1425" s="153">
        <v>220937</v>
      </c>
      <c r="O1425" s="153">
        <v>110866</v>
      </c>
      <c r="P1425" s="153">
        <v>11047</v>
      </c>
      <c r="Q1425" s="153"/>
      <c r="R1425" s="153">
        <v>46319</v>
      </c>
      <c r="S1425" s="154">
        <v>580.70000000000005</v>
      </c>
      <c r="T1425" s="154"/>
      <c r="U1425" s="154"/>
      <c r="V1425" s="153">
        <v>319470</v>
      </c>
      <c r="W1425" s="153">
        <v>129857</v>
      </c>
      <c r="X1425" s="153">
        <v>114193</v>
      </c>
      <c r="Y1425" s="153">
        <v>92778</v>
      </c>
      <c r="Z1425" s="153">
        <v>219524</v>
      </c>
    </row>
    <row r="1426" spans="1:26" ht="18" hidden="1" customHeight="1" x14ac:dyDescent="0.2">
      <c r="A1426" s="279">
        <f t="shared" si="1496"/>
        <v>44277</v>
      </c>
      <c r="B1426" s="280" t="s">
        <v>191</v>
      </c>
      <c r="C1426" s="48">
        <f t="shared" ref="C1426" si="1588">(V1427-V1426)*1+(W1427-W1426)*32+(X1427-X1426)*12+(Y1427-Y1426)*6</f>
        <v>2259</v>
      </c>
      <c r="D1426" s="84">
        <f t="shared" si="1541"/>
        <v>1501</v>
      </c>
      <c r="E1426" s="45">
        <f t="shared" ref="E1426" si="1589">(S1427-S1426)*80</f>
        <v>1871.9999999999982</v>
      </c>
      <c r="F1426" s="45">
        <f t="shared" ref="F1426" si="1590">(Z1427-Z1426)*1</f>
        <v>107</v>
      </c>
      <c r="G1426" s="79">
        <f t="shared" ref="G1426" si="1591">C1426+D1426+F1426+E1426</f>
        <v>5738.9999999999982</v>
      </c>
      <c r="H1426" s="199">
        <v>4858</v>
      </c>
      <c r="I1426" s="199">
        <v>654</v>
      </c>
      <c r="J1426" s="200">
        <f t="shared" si="1558"/>
        <v>5512</v>
      </c>
      <c r="K1426" s="201">
        <f t="shared" si="1559"/>
        <v>-226.99999999999818</v>
      </c>
      <c r="L1426" s="276">
        <v>474</v>
      </c>
      <c r="M1426" s="249">
        <v>0.41666666666666669</v>
      </c>
      <c r="N1426" s="235">
        <v>221197</v>
      </c>
      <c r="O1426" s="235">
        <v>110961</v>
      </c>
      <c r="P1426" s="235">
        <v>11047</v>
      </c>
      <c r="Q1426" s="235"/>
      <c r="R1426" s="235">
        <v>46346</v>
      </c>
      <c r="S1426" s="236">
        <v>624.20000000000005</v>
      </c>
      <c r="T1426" s="236"/>
      <c r="U1426" s="236"/>
      <c r="V1426" s="235">
        <v>319908</v>
      </c>
      <c r="W1426" s="235">
        <v>129918</v>
      </c>
      <c r="X1426" s="235">
        <v>114243</v>
      </c>
      <c r="Y1426" s="235">
        <v>92778</v>
      </c>
      <c r="Z1426" s="235">
        <v>219691</v>
      </c>
    </row>
    <row r="1427" spans="1:26" ht="18" hidden="1" customHeight="1" x14ac:dyDescent="0.2">
      <c r="A1427" s="279">
        <f t="shared" si="1496"/>
        <v>44278</v>
      </c>
      <c r="B1427" s="280" t="s">
        <v>192</v>
      </c>
      <c r="C1427" s="48">
        <f t="shared" ref="C1427" si="1592">(V1428-V1427)*1+(W1428-W1427)*32+(X1428-X1427)*12+(Y1428-Y1427)*6</f>
        <v>2088</v>
      </c>
      <c r="D1427" s="84">
        <f t="shared" si="1541"/>
        <v>396</v>
      </c>
      <c r="E1427" s="45">
        <f t="shared" ref="E1427" si="1593">(S1428-S1427)*80</f>
        <v>440</v>
      </c>
      <c r="F1427" s="45">
        <f t="shared" ref="F1427" si="1594">(Z1428-Z1427)*1</f>
        <v>123</v>
      </c>
      <c r="G1427" s="79">
        <f t="shared" ref="G1427" si="1595">C1427+D1427+F1427+E1427</f>
        <v>3047</v>
      </c>
      <c r="H1427" s="199">
        <v>3074</v>
      </c>
      <c r="I1427" s="199">
        <v>1012</v>
      </c>
      <c r="J1427" s="200">
        <f t="shared" si="1558"/>
        <v>4086</v>
      </c>
      <c r="K1427" s="201">
        <f t="shared" si="1559"/>
        <v>1039</v>
      </c>
      <c r="L1427" s="276">
        <v>277</v>
      </c>
      <c r="M1427" s="249">
        <v>0.5</v>
      </c>
      <c r="N1427" s="235">
        <v>221381</v>
      </c>
      <c r="O1427" s="235">
        <v>111032</v>
      </c>
      <c r="P1427" s="235">
        <v>11047</v>
      </c>
      <c r="Q1427" s="235"/>
      <c r="R1427" s="235">
        <v>46375</v>
      </c>
      <c r="S1427" s="236">
        <v>647.6</v>
      </c>
      <c r="T1427" s="236"/>
      <c r="U1427" s="236"/>
      <c r="V1427" s="235">
        <v>320083</v>
      </c>
      <c r="W1427" s="235">
        <v>129949</v>
      </c>
      <c r="X1427" s="235">
        <v>114334</v>
      </c>
      <c r="Y1427" s="235">
        <v>92778</v>
      </c>
      <c r="Z1427" s="235">
        <v>219798</v>
      </c>
    </row>
    <row r="1428" spans="1:26" ht="18" hidden="1" customHeight="1" x14ac:dyDescent="0.2">
      <c r="A1428" s="279">
        <f t="shared" si="1496"/>
        <v>44279</v>
      </c>
      <c r="B1428" s="280" t="s">
        <v>193</v>
      </c>
      <c r="C1428" s="48">
        <f t="shared" ref="C1428" si="1596">(V1429-V1428)*1+(W1429-W1428)*32+(X1429-X1428)*12+(Y1429-Y1428)*6</f>
        <v>2004</v>
      </c>
      <c r="D1428" s="84">
        <f t="shared" si="1541"/>
        <v>2454</v>
      </c>
      <c r="E1428" s="45">
        <f t="shared" ref="E1428" si="1597">(S1429-S1428)*80</f>
        <v>1600</v>
      </c>
      <c r="F1428" s="45">
        <f t="shared" ref="F1428" si="1598">(Z1429-Z1428)*1</f>
        <v>117</v>
      </c>
      <c r="G1428" s="79">
        <f t="shared" ref="G1428" si="1599">C1428+D1428+F1428+E1428</f>
        <v>6175</v>
      </c>
      <c r="H1428" s="199">
        <v>4181</v>
      </c>
      <c r="I1428" s="199">
        <v>1134</v>
      </c>
      <c r="J1428" s="200">
        <f t="shared" si="1558"/>
        <v>5315</v>
      </c>
      <c r="K1428" s="201">
        <f t="shared" si="1559"/>
        <v>-860</v>
      </c>
      <c r="L1428" s="285">
        <v>455</v>
      </c>
      <c r="M1428" s="249">
        <v>0.48958333333333331</v>
      </c>
      <c r="N1428" s="235">
        <v>221557</v>
      </c>
      <c r="O1428" s="235">
        <v>111098</v>
      </c>
      <c r="P1428" s="235">
        <v>11047</v>
      </c>
      <c r="Q1428" s="235"/>
      <c r="R1428" s="235">
        <v>45363</v>
      </c>
      <c r="S1428" s="236">
        <v>653.1</v>
      </c>
      <c r="T1428" s="236"/>
      <c r="U1428" s="236"/>
      <c r="V1428" s="235">
        <v>320255</v>
      </c>
      <c r="W1428" s="235">
        <v>129980</v>
      </c>
      <c r="X1428" s="235">
        <v>114411</v>
      </c>
      <c r="Y1428" s="235">
        <v>92778</v>
      </c>
      <c r="Z1428" s="235">
        <v>219921</v>
      </c>
    </row>
    <row r="1429" spans="1:26" ht="18" hidden="1" customHeight="1" x14ac:dyDescent="0.2">
      <c r="A1429" s="279">
        <f t="shared" si="1496"/>
        <v>44280</v>
      </c>
      <c r="B1429" s="280" t="s">
        <v>194</v>
      </c>
      <c r="C1429" s="48">
        <f t="shared" ref="C1429" si="1600">(V1430-V1429)*1+(W1430-W1429)*32+(X1430-X1429)*12+(Y1430-Y1429)*6</f>
        <v>2089</v>
      </c>
      <c r="D1429" s="84">
        <f t="shared" si="1541"/>
        <v>1383</v>
      </c>
      <c r="E1429" s="45">
        <f t="shared" ref="E1429" si="1601">(S1430-S1429)*80</f>
        <v>1975.9999999999945</v>
      </c>
      <c r="F1429" s="45">
        <f t="shared" ref="F1429" si="1602">(Z1430-Z1429)*1</f>
        <v>117</v>
      </c>
      <c r="G1429" s="79">
        <f t="shared" ref="G1429" si="1603">C1429+D1429+F1429+E1429</f>
        <v>5564.9999999999945</v>
      </c>
      <c r="H1429" s="199">
        <v>4756</v>
      </c>
      <c r="I1429" s="199">
        <v>1124</v>
      </c>
      <c r="J1429" s="200">
        <f t="shared" si="1558"/>
        <v>5880</v>
      </c>
      <c r="K1429" s="201">
        <f t="shared" si="1559"/>
        <v>315.00000000000546</v>
      </c>
      <c r="L1429" s="285">
        <v>437</v>
      </c>
      <c r="M1429" s="249">
        <v>0.41666666666666669</v>
      </c>
      <c r="N1429" s="235">
        <v>221735</v>
      </c>
      <c r="O1429" s="235">
        <v>111164</v>
      </c>
      <c r="P1429" s="235">
        <v>11047</v>
      </c>
      <c r="Q1429" s="235"/>
      <c r="R1429" s="235">
        <v>46393</v>
      </c>
      <c r="S1429" s="236">
        <v>673.1</v>
      </c>
      <c r="T1429" s="236"/>
      <c r="U1429" s="236"/>
      <c r="V1429" s="235">
        <v>320427</v>
      </c>
      <c r="W1429" s="235">
        <v>130011</v>
      </c>
      <c r="X1429" s="235">
        <v>114481</v>
      </c>
      <c r="Y1429" s="235">
        <v>92778</v>
      </c>
      <c r="Z1429" s="235">
        <v>220038</v>
      </c>
    </row>
    <row r="1430" spans="1:26" ht="18" hidden="1" customHeight="1" x14ac:dyDescent="0.2">
      <c r="A1430" s="279">
        <f t="shared" si="1496"/>
        <v>44281</v>
      </c>
      <c r="B1430" s="278" t="s">
        <v>189</v>
      </c>
      <c r="C1430" s="48">
        <f t="shared" ref="C1430:C1432" si="1604">(V1431-V1430)*1+(W1431-W1430)*32+(X1431-X1430)*12+(Y1431-Y1430)*6</f>
        <v>0</v>
      </c>
      <c r="D1430" s="84">
        <f t="shared" si="1541"/>
        <v>0</v>
      </c>
      <c r="E1430" s="45">
        <f t="shared" ref="E1430:E1432" si="1605">(S1431-S1430)*80</f>
        <v>0</v>
      </c>
      <c r="F1430" s="45">
        <f t="shared" ref="F1430:F1432" si="1606">(Z1431-Z1430)*1</f>
        <v>0</v>
      </c>
      <c r="G1430" s="79">
        <f t="shared" ref="G1430:G1432" si="1607">C1430+D1430+F1430+E1430</f>
        <v>0</v>
      </c>
      <c r="H1430" s="199">
        <v>4767</v>
      </c>
      <c r="I1430" s="199">
        <v>1022</v>
      </c>
      <c r="J1430" s="200">
        <f t="shared" si="1558"/>
        <v>5789</v>
      </c>
      <c r="K1430" s="201">
        <f t="shared" si="1559"/>
        <v>5789</v>
      </c>
      <c r="L1430" s="285">
        <v>444</v>
      </c>
      <c r="M1430" s="249">
        <v>0.58333333333333337</v>
      </c>
      <c r="N1430" s="235">
        <v>221907</v>
      </c>
      <c r="O1430" s="235">
        <v>111228</v>
      </c>
      <c r="P1430" s="235">
        <v>11047</v>
      </c>
      <c r="Q1430" s="235"/>
      <c r="R1430" s="235">
        <v>46400</v>
      </c>
      <c r="S1430" s="236">
        <v>697.8</v>
      </c>
      <c r="T1430" s="236"/>
      <c r="U1430" s="236"/>
      <c r="V1430" s="235">
        <v>320592</v>
      </c>
      <c r="W1430" s="235">
        <v>130043</v>
      </c>
      <c r="X1430" s="235">
        <v>114556</v>
      </c>
      <c r="Y1430" s="235">
        <v>92778</v>
      </c>
      <c r="Z1430" s="235">
        <v>220155</v>
      </c>
    </row>
    <row r="1431" spans="1:26" ht="18" hidden="1" customHeight="1" x14ac:dyDescent="0.2">
      <c r="A1431" s="279">
        <f t="shared" si="1496"/>
        <v>44282</v>
      </c>
      <c r="B1431" s="279" t="s">
        <v>195</v>
      </c>
      <c r="C1431" s="48">
        <f t="shared" si="1604"/>
        <v>0</v>
      </c>
      <c r="D1431" s="84">
        <f t="shared" si="1541"/>
        <v>0</v>
      </c>
      <c r="E1431" s="45">
        <f t="shared" si="1605"/>
        <v>0</v>
      </c>
      <c r="F1431" s="45">
        <f t="shared" si="1606"/>
        <v>0</v>
      </c>
      <c r="G1431" s="79">
        <f t="shared" si="1607"/>
        <v>0</v>
      </c>
      <c r="H1431" s="199">
        <v>0</v>
      </c>
      <c r="I1431" s="199">
        <f>1300+816</f>
        <v>2116</v>
      </c>
      <c r="J1431" s="200">
        <f t="shared" si="1558"/>
        <v>2116</v>
      </c>
      <c r="K1431" s="201">
        <f t="shared" si="1559"/>
        <v>2116</v>
      </c>
      <c r="L1431" s="276">
        <v>110</v>
      </c>
      <c r="M1431" s="249">
        <v>0.94791666666666663</v>
      </c>
      <c r="N1431" s="153">
        <v>221907</v>
      </c>
      <c r="O1431" s="153">
        <v>111228</v>
      </c>
      <c r="P1431" s="153">
        <v>11047</v>
      </c>
      <c r="Q1431" s="153"/>
      <c r="R1431" s="153">
        <v>46400</v>
      </c>
      <c r="S1431" s="154">
        <v>697.8</v>
      </c>
      <c r="T1431" s="154"/>
      <c r="U1431" s="154"/>
      <c r="V1431" s="153">
        <v>320592</v>
      </c>
      <c r="W1431" s="153">
        <v>130043</v>
      </c>
      <c r="X1431" s="153">
        <v>114556</v>
      </c>
      <c r="Y1431" s="153">
        <v>92778</v>
      </c>
      <c r="Z1431" s="153">
        <v>220155</v>
      </c>
    </row>
    <row r="1432" spans="1:26" ht="18" hidden="1" customHeight="1" x14ac:dyDescent="0.2">
      <c r="A1432" s="279">
        <f t="shared" si="1496"/>
        <v>44283</v>
      </c>
      <c r="B1432" s="278" t="s">
        <v>190</v>
      </c>
      <c r="C1432" s="48">
        <f t="shared" si="1604"/>
        <v>3043</v>
      </c>
      <c r="D1432" s="84">
        <f t="shared" si="1541"/>
        <v>2582</v>
      </c>
      <c r="E1432" s="45">
        <f t="shared" si="1605"/>
        <v>3104.0000000000055</v>
      </c>
      <c r="F1432" s="45">
        <f t="shared" si="1606"/>
        <v>258</v>
      </c>
      <c r="G1432" s="79">
        <f t="shared" si="1607"/>
        <v>8987.0000000000055</v>
      </c>
      <c r="H1432" s="199">
        <v>0</v>
      </c>
      <c r="I1432" s="199">
        <v>1972</v>
      </c>
      <c r="J1432" s="200">
        <f t="shared" si="1558"/>
        <v>1972</v>
      </c>
      <c r="K1432" s="201">
        <f t="shared" si="1559"/>
        <v>-7015.0000000000055</v>
      </c>
      <c r="L1432" s="276">
        <v>114</v>
      </c>
      <c r="M1432" s="249">
        <v>0.48958333333333331</v>
      </c>
      <c r="N1432" s="153">
        <v>221907</v>
      </c>
      <c r="O1432" s="153">
        <v>111228</v>
      </c>
      <c r="P1432" s="153">
        <v>11047</v>
      </c>
      <c r="Q1432" s="153"/>
      <c r="R1432" s="153">
        <v>46400</v>
      </c>
      <c r="S1432" s="154">
        <v>697.8</v>
      </c>
      <c r="T1432" s="154"/>
      <c r="U1432" s="154"/>
      <c r="V1432" s="153">
        <v>320592</v>
      </c>
      <c r="W1432" s="153">
        <v>130043</v>
      </c>
      <c r="X1432" s="153">
        <v>114556</v>
      </c>
      <c r="Y1432" s="153">
        <v>92778</v>
      </c>
      <c r="Z1432" s="153">
        <v>220155</v>
      </c>
    </row>
    <row r="1433" spans="1:26" ht="18" hidden="1" customHeight="1" x14ac:dyDescent="0.2">
      <c r="A1433" s="279">
        <f t="shared" si="1496"/>
        <v>44284</v>
      </c>
      <c r="B1433" s="280" t="s">
        <v>191</v>
      </c>
      <c r="C1433" s="48">
        <f t="shared" ref="C1433" si="1608">(V1434-V1433)*1+(W1434-W1433)*32+(X1434-X1433)*12+(Y1434-Y1433)*6</f>
        <v>2330</v>
      </c>
      <c r="D1433" s="84">
        <f t="shared" si="1541"/>
        <v>1372</v>
      </c>
      <c r="E1433" s="45">
        <f t="shared" ref="E1433" si="1609">(S1434-S1433)*80</f>
        <v>1855.9999999999945</v>
      </c>
      <c r="F1433" s="45">
        <f t="shared" ref="F1433" si="1610">(Z1434-Z1433)*1</f>
        <v>65</v>
      </c>
      <c r="G1433" s="79">
        <f t="shared" ref="G1433" si="1611">C1433+D1433+F1433+E1433</f>
        <v>5622.9999999999945</v>
      </c>
      <c r="H1433" s="199">
        <v>4766</v>
      </c>
      <c r="I1433" s="199">
        <v>640</v>
      </c>
      <c r="J1433" s="200">
        <f t="shared" si="1558"/>
        <v>5406</v>
      </c>
      <c r="K1433" s="201">
        <f t="shared" si="1559"/>
        <v>-216.99999999999454</v>
      </c>
      <c r="L1433" s="285">
        <v>431</v>
      </c>
      <c r="M1433" s="249">
        <v>0.46875</v>
      </c>
      <c r="N1433" s="235">
        <v>222227</v>
      </c>
      <c r="O1433" s="235">
        <v>111348</v>
      </c>
      <c r="P1433" s="235">
        <v>11047</v>
      </c>
      <c r="Q1433" s="235"/>
      <c r="R1433" s="235">
        <v>46422</v>
      </c>
      <c r="S1433" s="236">
        <v>736.6</v>
      </c>
      <c r="T1433" s="236"/>
      <c r="U1433" s="236"/>
      <c r="V1433" s="235">
        <v>321027</v>
      </c>
      <c r="W1433" s="235">
        <v>130096</v>
      </c>
      <c r="X1433" s="235">
        <v>114632</v>
      </c>
      <c r="Y1433" s="235">
        <v>92778</v>
      </c>
      <c r="Z1433" s="235">
        <v>220413</v>
      </c>
    </row>
    <row r="1434" spans="1:26" ht="18" hidden="1" customHeight="1" x14ac:dyDescent="0.2">
      <c r="A1434" s="279">
        <f t="shared" si="1496"/>
        <v>44285</v>
      </c>
      <c r="B1434" s="280" t="s">
        <v>191</v>
      </c>
      <c r="C1434" s="48">
        <f t="shared" ref="C1434" si="1612">(V1435-V1434)*1+(W1435-W1434)*32+(X1435-X1434)*12+(Y1435-Y1434)*6</f>
        <v>2361</v>
      </c>
      <c r="D1434" s="84">
        <f t="shared" si="1541"/>
        <v>1293</v>
      </c>
      <c r="E1434" s="45">
        <f t="shared" ref="E1434" si="1613">(S1435-S1434)*80</f>
        <v>1792.0000000000073</v>
      </c>
      <c r="F1434" s="45">
        <f t="shared" ref="F1434" si="1614">(Z1435-Z1434)*1</f>
        <v>53</v>
      </c>
      <c r="G1434" s="79">
        <f t="shared" ref="G1434" si="1615">C1434+D1434+F1434+E1434</f>
        <v>5499.0000000000073</v>
      </c>
      <c r="H1434" s="199">
        <v>4908</v>
      </c>
      <c r="I1434" s="199">
        <v>937</v>
      </c>
      <c r="J1434" s="200">
        <f t="shared" si="1558"/>
        <v>5845</v>
      </c>
      <c r="K1434" s="201">
        <f t="shared" si="1559"/>
        <v>345.99999999999272</v>
      </c>
      <c r="L1434" s="285">
        <v>443</v>
      </c>
      <c r="M1434" s="249">
        <v>0.58333333333333337</v>
      </c>
      <c r="N1434" s="235">
        <v>222397</v>
      </c>
      <c r="O1434" s="235">
        <v>111414</v>
      </c>
      <c r="P1434" s="235">
        <v>11047</v>
      </c>
      <c r="Q1434" s="235"/>
      <c r="R1434" s="235">
        <v>46434</v>
      </c>
      <c r="S1434" s="236">
        <v>759.8</v>
      </c>
      <c r="T1434" s="236"/>
      <c r="U1434" s="236"/>
      <c r="V1434" s="235">
        <v>321217</v>
      </c>
      <c r="W1434" s="235">
        <v>130137</v>
      </c>
      <c r="X1434" s="235">
        <v>114701</v>
      </c>
      <c r="Y1434" s="235">
        <v>92778</v>
      </c>
      <c r="Z1434" s="235">
        <v>220478</v>
      </c>
    </row>
    <row r="1435" spans="1:26" ht="18" hidden="1" customHeight="1" x14ac:dyDescent="0.2">
      <c r="A1435" s="279">
        <f t="shared" si="1496"/>
        <v>44286</v>
      </c>
      <c r="B1435" s="280" t="s">
        <v>193</v>
      </c>
      <c r="C1435" s="48">
        <f t="shared" ref="C1435" si="1616">(V1436-V1435)*1+(W1436-W1435)*32+(X1436-X1435)*12+(Y1436-Y1435)*6</f>
        <v>2270</v>
      </c>
      <c r="D1435" s="84">
        <f t="shared" si="1541"/>
        <v>1372</v>
      </c>
      <c r="E1435" s="45">
        <f t="shared" ref="E1435" si="1617">(S1436-S1435)*80</f>
        <v>1767.9999999999927</v>
      </c>
      <c r="F1435" s="45">
        <f t="shared" ref="F1435" si="1618">(Z1436-Z1435)*1</f>
        <v>60</v>
      </c>
      <c r="G1435" s="79">
        <f t="shared" ref="G1435" si="1619">C1435+D1435+F1435+E1435</f>
        <v>5469.9999999999927</v>
      </c>
      <c r="H1435" s="199">
        <v>4721</v>
      </c>
      <c r="I1435" s="199">
        <v>908</v>
      </c>
      <c r="J1435" s="200">
        <f t="shared" si="1558"/>
        <v>5629</v>
      </c>
      <c r="K1435" s="201">
        <f t="shared" si="1559"/>
        <v>159.00000000000728</v>
      </c>
      <c r="L1435" s="285">
        <v>444</v>
      </c>
      <c r="M1435" s="249">
        <v>0.375</v>
      </c>
      <c r="N1435" s="235">
        <v>222557</v>
      </c>
      <c r="O1435" s="235">
        <v>111476</v>
      </c>
      <c r="P1435" s="235">
        <v>11047</v>
      </c>
      <c r="Q1435" s="235"/>
      <c r="R1435" s="235">
        <v>46447</v>
      </c>
      <c r="S1435" s="236">
        <v>782.2</v>
      </c>
      <c r="T1435" s="236"/>
      <c r="U1435" s="236"/>
      <c r="V1435" s="235">
        <v>321414</v>
      </c>
      <c r="W1435" s="235">
        <v>130178</v>
      </c>
      <c r="X1435" s="235">
        <v>114772</v>
      </c>
      <c r="Y1435" s="235">
        <v>92778</v>
      </c>
      <c r="Z1435" s="235">
        <v>220531</v>
      </c>
    </row>
    <row r="1436" spans="1:26" ht="18" hidden="1" customHeight="1" x14ac:dyDescent="0.2">
      <c r="A1436" s="279">
        <f t="shared" si="1496"/>
        <v>44287</v>
      </c>
      <c r="B1436" s="280" t="s">
        <v>194</v>
      </c>
      <c r="C1436" s="48">
        <f t="shared" ref="C1436:C1439" si="1620">(V1437-V1436)*1+(W1437-W1436)*32+(X1437-X1436)*12+(Y1437-Y1436)*6</f>
        <v>0</v>
      </c>
      <c r="D1436" s="84">
        <f t="shared" si="1541"/>
        <v>0</v>
      </c>
      <c r="E1436" s="45">
        <f t="shared" ref="E1436:E1439" si="1621">(S1437-S1436)*80</f>
        <v>0</v>
      </c>
      <c r="F1436" s="45">
        <f t="shared" ref="F1436:F1439" si="1622">(Z1437-Z1436)*1</f>
        <v>0</v>
      </c>
      <c r="G1436" s="79">
        <f t="shared" ref="G1436:G1439" si="1623">C1436+D1436+F1436+E1436</f>
        <v>0</v>
      </c>
      <c r="H1436" s="199">
        <v>4458</v>
      </c>
      <c r="I1436" s="199">
        <v>920</v>
      </c>
      <c r="J1436" s="200">
        <f t="shared" si="1558"/>
        <v>5378</v>
      </c>
      <c r="K1436" s="201">
        <f t="shared" si="1559"/>
        <v>5378</v>
      </c>
      <c r="L1436" s="276">
        <v>430</v>
      </c>
      <c r="M1436" s="249">
        <v>0.48958333333333331</v>
      </c>
      <c r="N1436" s="235">
        <v>222727</v>
      </c>
      <c r="O1436" s="235">
        <v>111541</v>
      </c>
      <c r="P1436" s="235">
        <v>11047</v>
      </c>
      <c r="Q1436" s="235"/>
      <c r="R1436" s="235">
        <v>46459</v>
      </c>
      <c r="S1436" s="236">
        <v>804.3</v>
      </c>
      <c r="T1436" s="236"/>
      <c r="U1436" s="236"/>
      <c r="V1436" s="235">
        <v>321624</v>
      </c>
      <c r="W1436" s="235">
        <v>130218</v>
      </c>
      <c r="X1436" s="235">
        <v>114837</v>
      </c>
      <c r="Y1436" s="235">
        <v>92778</v>
      </c>
      <c r="Z1436" s="235">
        <v>220591</v>
      </c>
    </row>
    <row r="1437" spans="1:26" ht="18" hidden="1" customHeight="1" x14ac:dyDescent="0.2">
      <c r="A1437" s="279">
        <f t="shared" si="1496"/>
        <v>44288</v>
      </c>
      <c r="B1437" s="278" t="s">
        <v>189</v>
      </c>
      <c r="C1437" s="48">
        <f t="shared" si="1620"/>
        <v>0</v>
      </c>
      <c r="D1437" s="84">
        <f t="shared" si="1541"/>
        <v>0</v>
      </c>
      <c r="E1437" s="45">
        <f t="shared" si="1621"/>
        <v>0</v>
      </c>
      <c r="F1437" s="45">
        <f t="shared" si="1622"/>
        <v>0</v>
      </c>
      <c r="G1437" s="79">
        <f t="shared" si="1623"/>
        <v>0</v>
      </c>
      <c r="H1437" s="199">
        <v>1349</v>
      </c>
      <c r="I1437" s="199">
        <v>851</v>
      </c>
      <c r="J1437" s="200">
        <f t="shared" si="1558"/>
        <v>2200</v>
      </c>
      <c r="K1437" s="201">
        <f t="shared" si="1559"/>
        <v>2200</v>
      </c>
      <c r="L1437" s="276">
        <v>129</v>
      </c>
      <c r="M1437" s="249">
        <v>0.27083333333333331</v>
      </c>
      <c r="N1437" s="153">
        <v>222727</v>
      </c>
      <c r="O1437" s="153">
        <v>111541</v>
      </c>
      <c r="P1437" s="153">
        <v>11047</v>
      </c>
      <c r="Q1437" s="153"/>
      <c r="R1437" s="153">
        <v>46459</v>
      </c>
      <c r="S1437" s="154">
        <v>804.3</v>
      </c>
      <c r="T1437" s="154"/>
      <c r="U1437" s="154"/>
      <c r="V1437" s="153">
        <v>321624</v>
      </c>
      <c r="W1437" s="153">
        <v>130218</v>
      </c>
      <c r="X1437" s="153">
        <v>114837</v>
      </c>
      <c r="Y1437" s="153">
        <v>92778</v>
      </c>
      <c r="Z1437" s="153">
        <v>220591</v>
      </c>
    </row>
    <row r="1438" spans="1:26" ht="18" hidden="1" customHeight="1" x14ac:dyDescent="0.2">
      <c r="A1438" s="279">
        <f t="shared" si="1496"/>
        <v>44289</v>
      </c>
      <c r="B1438" s="279" t="s">
        <v>195</v>
      </c>
      <c r="C1438" s="48">
        <f t="shared" si="1620"/>
        <v>0</v>
      </c>
      <c r="D1438" s="84">
        <f t="shared" si="1541"/>
        <v>0</v>
      </c>
      <c r="E1438" s="45">
        <f t="shared" si="1621"/>
        <v>0</v>
      </c>
      <c r="F1438" s="45">
        <f t="shared" si="1622"/>
        <v>0</v>
      </c>
      <c r="G1438" s="79">
        <f t="shared" si="1623"/>
        <v>0</v>
      </c>
      <c r="H1438" s="199">
        <v>0</v>
      </c>
      <c r="I1438" s="199">
        <f>423+622</f>
        <v>1045</v>
      </c>
      <c r="J1438" s="200">
        <f t="shared" ref="J1438:J1495" si="1624">H1438+I1438</f>
        <v>1045</v>
      </c>
      <c r="K1438" s="201">
        <f t="shared" ref="K1438:K1465" si="1625">J1438-G1438</f>
        <v>1045</v>
      </c>
      <c r="L1438" s="276">
        <v>93</v>
      </c>
      <c r="M1438" s="249">
        <v>0.11458333333333333</v>
      </c>
      <c r="N1438" s="153">
        <v>222727</v>
      </c>
      <c r="O1438" s="153">
        <v>111541</v>
      </c>
      <c r="P1438" s="153">
        <v>11047</v>
      </c>
      <c r="Q1438" s="153"/>
      <c r="R1438" s="153">
        <v>46459</v>
      </c>
      <c r="S1438" s="154">
        <v>804.3</v>
      </c>
      <c r="T1438" s="154"/>
      <c r="U1438" s="154"/>
      <c r="V1438" s="153">
        <v>321624</v>
      </c>
      <c r="W1438" s="153">
        <v>130218</v>
      </c>
      <c r="X1438" s="153">
        <v>114837</v>
      </c>
      <c r="Y1438" s="153">
        <v>92778</v>
      </c>
      <c r="Z1438" s="153">
        <v>220591</v>
      </c>
    </row>
    <row r="1439" spans="1:26" ht="18" hidden="1" customHeight="1" x14ac:dyDescent="0.2">
      <c r="A1439" s="279">
        <f t="shared" si="1496"/>
        <v>44290</v>
      </c>
      <c r="B1439" s="278" t="s">
        <v>190</v>
      </c>
      <c r="C1439" s="48">
        <f t="shared" si="1620"/>
        <v>0</v>
      </c>
      <c r="D1439" s="84">
        <f t="shared" si="1541"/>
        <v>0</v>
      </c>
      <c r="E1439" s="45">
        <f t="shared" si="1621"/>
        <v>0</v>
      </c>
      <c r="F1439" s="45">
        <f t="shared" si="1622"/>
        <v>0</v>
      </c>
      <c r="G1439" s="79">
        <f t="shared" si="1623"/>
        <v>0</v>
      </c>
      <c r="H1439" s="199">
        <v>0</v>
      </c>
      <c r="I1439" s="199">
        <v>640</v>
      </c>
      <c r="J1439" s="200">
        <f t="shared" si="1624"/>
        <v>640</v>
      </c>
      <c r="K1439" s="201">
        <f t="shared" si="1625"/>
        <v>640</v>
      </c>
      <c r="L1439" s="276">
        <v>34</v>
      </c>
      <c r="M1439" s="249">
        <v>0.94791666666666663</v>
      </c>
      <c r="N1439" s="153">
        <v>222727</v>
      </c>
      <c r="O1439" s="153">
        <v>111541</v>
      </c>
      <c r="P1439" s="153">
        <v>11047</v>
      </c>
      <c r="Q1439" s="153"/>
      <c r="R1439" s="153">
        <v>46459</v>
      </c>
      <c r="S1439" s="154">
        <v>804.3</v>
      </c>
      <c r="T1439" s="154"/>
      <c r="U1439" s="154"/>
      <c r="V1439" s="153">
        <v>321624</v>
      </c>
      <c r="W1439" s="153">
        <v>130218</v>
      </c>
      <c r="X1439" s="153">
        <v>114837</v>
      </c>
      <c r="Y1439" s="153">
        <v>92778</v>
      </c>
      <c r="Z1439" s="153">
        <v>220591</v>
      </c>
    </row>
    <row r="1440" spans="1:26" ht="18" hidden="1" customHeight="1" x14ac:dyDescent="0.2">
      <c r="A1440" s="279">
        <f t="shared" si="1496"/>
        <v>44291</v>
      </c>
      <c r="B1440" s="280" t="s">
        <v>191</v>
      </c>
      <c r="C1440" s="48">
        <f>(V1441-V1440)*1+(W1441-W1440)*32+(X1441-X1440)*12+(Y1441-Y1440)*6</f>
        <v>4003</v>
      </c>
      <c r="D1440" s="84">
        <f t="shared" si="1541"/>
        <v>2772</v>
      </c>
      <c r="E1440" s="45">
        <f>(S1441-S1440)*80</f>
        <v>2200</v>
      </c>
      <c r="F1440" s="45">
        <f>(Z1441-Z1440)*1</f>
        <v>332</v>
      </c>
      <c r="G1440" s="79">
        <f>C1440+D1440+F1440+E1440</f>
        <v>9307</v>
      </c>
      <c r="H1440" s="199">
        <v>616</v>
      </c>
      <c r="I1440" s="199">
        <v>366</v>
      </c>
      <c r="J1440" s="200">
        <f t="shared" si="1624"/>
        <v>982</v>
      </c>
      <c r="K1440" s="201">
        <f t="shared" si="1625"/>
        <v>-8325</v>
      </c>
      <c r="L1440" s="276">
        <v>75</v>
      </c>
      <c r="M1440" s="249">
        <v>0.26041666666666669</v>
      </c>
      <c r="N1440" s="153">
        <v>222727</v>
      </c>
      <c r="O1440" s="153">
        <v>111541</v>
      </c>
      <c r="P1440" s="153">
        <v>11047</v>
      </c>
      <c r="Q1440" s="153"/>
      <c r="R1440" s="153">
        <v>46459</v>
      </c>
      <c r="S1440" s="154">
        <v>804.3</v>
      </c>
      <c r="T1440" s="154"/>
      <c r="U1440" s="154"/>
      <c r="V1440" s="153">
        <v>321624</v>
      </c>
      <c r="W1440" s="153">
        <v>130218</v>
      </c>
      <c r="X1440" s="153">
        <v>114837</v>
      </c>
      <c r="Y1440" s="153">
        <v>92778</v>
      </c>
      <c r="Z1440" s="153">
        <v>220591</v>
      </c>
    </row>
    <row r="1441" spans="1:26" ht="18" hidden="1" customHeight="1" x14ac:dyDescent="0.2">
      <c r="A1441" s="279">
        <f t="shared" si="1496"/>
        <v>44292</v>
      </c>
      <c r="B1441" s="280" t="s">
        <v>192</v>
      </c>
      <c r="C1441" s="48">
        <f>(V1442-V1441)*1+(W1442-W1441)*32+(X1442-X1441)*12+(Y1442-Y1441)*6</f>
        <v>2156</v>
      </c>
      <c r="D1441" s="84">
        <f t="shared" si="1541"/>
        <v>1485</v>
      </c>
      <c r="E1441" s="45">
        <f>(S1442-S1441)*80</f>
        <v>1640</v>
      </c>
      <c r="F1441" s="45">
        <f>(Z1442-Z1441)*1</f>
        <v>57</v>
      </c>
      <c r="G1441" s="79">
        <f>C1441+D1441+F1441+E1441</f>
        <v>5338</v>
      </c>
      <c r="H1441" s="199">
        <v>4547</v>
      </c>
      <c r="I1441" s="199">
        <v>687</v>
      </c>
      <c r="J1441" s="200">
        <f t="shared" si="1624"/>
        <v>5234</v>
      </c>
      <c r="K1441" s="201">
        <f t="shared" si="1625"/>
        <v>-104</v>
      </c>
      <c r="L1441" s="276">
        <v>419</v>
      </c>
      <c r="M1441" s="249">
        <v>0.45833333333333331</v>
      </c>
      <c r="N1441" s="235">
        <v>223067</v>
      </c>
      <c r="O1441" s="235">
        <v>111609</v>
      </c>
      <c r="P1441" s="235">
        <v>11047</v>
      </c>
      <c r="Q1441" s="235"/>
      <c r="R1441" s="235">
        <v>46511</v>
      </c>
      <c r="S1441" s="236">
        <v>831.8</v>
      </c>
      <c r="T1441" s="236"/>
      <c r="U1441" s="236"/>
      <c r="V1441" s="235">
        <v>322403</v>
      </c>
      <c r="W1441" s="235">
        <v>130297</v>
      </c>
      <c r="X1441" s="235">
        <v>114895</v>
      </c>
      <c r="Y1441" s="235">
        <v>92778</v>
      </c>
      <c r="Z1441" s="235">
        <v>220923</v>
      </c>
    </row>
    <row r="1442" spans="1:26" ht="18" hidden="1" customHeight="1" x14ac:dyDescent="0.2">
      <c r="A1442" s="279">
        <f t="shared" si="1496"/>
        <v>44293</v>
      </c>
      <c r="B1442" s="280" t="s">
        <v>193</v>
      </c>
      <c r="C1442" s="48">
        <f>(V1443-V1442)*1+(W1443-W1442)*32+(X1443-X1442)*12+(Y1443-Y1442)*6</f>
        <v>2098</v>
      </c>
      <c r="D1442" s="84">
        <f t="shared" si="1541"/>
        <v>1539</v>
      </c>
      <c r="E1442" s="45">
        <f>(S1443-S1442)*80</f>
        <v>1728.0000000000018</v>
      </c>
      <c r="F1442" s="45">
        <f>(Z1443-Z1442)*1</f>
        <v>77</v>
      </c>
      <c r="G1442" s="79">
        <f>C1442+D1442+F1442+E1442</f>
        <v>5442.0000000000018</v>
      </c>
      <c r="H1442" s="199">
        <v>4458</v>
      </c>
      <c r="I1442" s="199">
        <v>985</v>
      </c>
      <c r="J1442" s="200">
        <f t="shared" si="1624"/>
        <v>5443</v>
      </c>
      <c r="K1442" s="201">
        <f t="shared" si="1625"/>
        <v>0.99999999999818101</v>
      </c>
      <c r="L1442" s="276">
        <v>426</v>
      </c>
      <c r="M1442" s="249">
        <v>0.39583333333333331</v>
      </c>
      <c r="N1442" s="235">
        <v>223247</v>
      </c>
      <c r="O1442" s="235">
        <v>111735</v>
      </c>
      <c r="P1442" s="235">
        <v>11047</v>
      </c>
      <c r="Q1442" s="235"/>
      <c r="R1442" s="235">
        <v>46556</v>
      </c>
      <c r="S1442" s="236">
        <v>852.3</v>
      </c>
      <c r="T1442" s="236"/>
      <c r="U1442" s="236"/>
      <c r="V1442" s="235">
        <v>322571</v>
      </c>
      <c r="W1442" s="235">
        <v>130331</v>
      </c>
      <c r="X1442" s="235">
        <v>114970</v>
      </c>
      <c r="Y1442" s="235">
        <v>92778</v>
      </c>
      <c r="Z1442" s="235">
        <v>220980</v>
      </c>
    </row>
    <row r="1443" spans="1:26" ht="18" hidden="1" customHeight="1" x14ac:dyDescent="0.2">
      <c r="A1443" s="279">
        <f t="shared" si="1496"/>
        <v>44294</v>
      </c>
      <c r="B1443" s="280" t="s">
        <v>194</v>
      </c>
      <c r="C1443" s="48">
        <f>(V1444-V1443)*1+(W1444-W1443)*32+(X1444-X1443)*12+(Y1444-Y1443)*6</f>
        <v>2228</v>
      </c>
      <c r="D1443" s="84">
        <f t="shared" si="1541"/>
        <v>2094</v>
      </c>
      <c r="E1443" s="45">
        <f>(S1444-S1443)*80</f>
        <v>2128.0000000000018</v>
      </c>
      <c r="F1443" s="45">
        <f>(Z1444-Z1443)*1</f>
        <v>107</v>
      </c>
      <c r="G1443" s="79">
        <f>C1443+D1443+F1443+E1443</f>
        <v>6557.0000000000018</v>
      </c>
      <c r="H1443" s="199">
        <v>5045</v>
      </c>
      <c r="I1443" s="199">
        <v>1048</v>
      </c>
      <c r="J1443" s="200">
        <f t="shared" si="1624"/>
        <v>6093</v>
      </c>
      <c r="K1443" s="201">
        <f t="shared" si="1625"/>
        <v>-464.00000000000182</v>
      </c>
      <c r="L1443" s="276">
        <v>479</v>
      </c>
      <c r="M1443" s="249">
        <v>0.375</v>
      </c>
      <c r="N1443" s="235">
        <v>223437</v>
      </c>
      <c r="O1443" s="235">
        <v>111804</v>
      </c>
      <c r="P1443" s="235">
        <v>11047</v>
      </c>
      <c r="Q1443" s="235"/>
      <c r="R1443" s="235">
        <v>46575</v>
      </c>
      <c r="S1443" s="236">
        <v>873.9</v>
      </c>
      <c r="T1443" s="236"/>
      <c r="U1443" s="236"/>
      <c r="V1443" s="235">
        <v>322749</v>
      </c>
      <c r="W1443" s="235">
        <v>130364</v>
      </c>
      <c r="X1443" s="235">
        <v>115042</v>
      </c>
      <c r="Y1443" s="235">
        <v>92778</v>
      </c>
      <c r="Z1443" s="235">
        <v>221057</v>
      </c>
    </row>
    <row r="1444" spans="1:26" ht="18" hidden="1" customHeight="1" x14ac:dyDescent="0.2">
      <c r="A1444" s="279">
        <f t="shared" si="1496"/>
        <v>44295</v>
      </c>
      <c r="B1444" s="278" t="s">
        <v>189</v>
      </c>
      <c r="C1444" s="48">
        <f t="shared" ref="C1444:C1446" si="1626">(V1445-V1444)*1+(W1445-W1444)*32+(X1445-X1444)*12+(Y1445-Y1444)*6</f>
        <v>0</v>
      </c>
      <c r="D1444" s="84">
        <f t="shared" si="1541"/>
        <v>0</v>
      </c>
      <c r="E1444" s="45">
        <f t="shared" ref="E1444:E1446" si="1627">(S1445-S1444)*80</f>
        <v>0</v>
      </c>
      <c r="F1444" s="45">
        <f t="shared" ref="F1444:F1446" si="1628">(Z1445-Z1444)*1</f>
        <v>0</v>
      </c>
      <c r="G1444" s="79">
        <f t="shared" ref="G1444:G1446" si="1629">C1444+D1444+F1444+E1444</f>
        <v>0</v>
      </c>
      <c r="H1444" s="199">
        <v>4903</v>
      </c>
      <c r="I1444" s="199">
        <v>1058</v>
      </c>
      <c r="J1444" s="200">
        <f t="shared" si="1624"/>
        <v>5961</v>
      </c>
      <c r="K1444" s="201">
        <f t="shared" si="1625"/>
        <v>5961</v>
      </c>
      <c r="L1444" s="276">
        <v>459</v>
      </c>
      <c r="M1444" s="249">
        <v>0.47916666666666669</v>
      </c>
      <c r="N1444" s="235">
        <v>223697</v>
      </c>
      <c r="O1444" s="235">
        <v>111870</v>
      </c>
      <c r="P1444" s="235">
        <v>11047</v>
      </c>
      <c r="Q1444" s="235"/>
      <c r="R1444" s="235">
        <v>46589</v>
      </c>
      <c r="S1444" s="236">
        <v>900.5</v>
      </c>
      <c r="T1444" s="236"/>
      <c r="U1444" s="236"/>
      <c r="V1444" s="235">
        <v>322917</v>
      </c>
      <c r="W1444" s="235">
        <v>130398</v>
      </c>
      <c r="X1444" s="235">
        <v>115123</v>
      </c>
      <c r="Y1444" s="235">
        <v>92778</v>
      </c>
      <c r="Z1444" s="235">
        <v>221164</v>
      </c>
    </row>
    <row r="1445" spans="1:26" ht="18" hidden="1" customHeight="1" x14ac:dyDescent="0.2">
      <c r="A1445" s="279">
        <f t="shared" si="1496"/>
        <v>44296</v>
      </c>
      <c r="B1445" s="279" t="s">
        <v>195</v>
      </c>
      <c r="C1445" s="48">
        <f t="shared" si="1626"/>
        <v>0</v>
      </c>
      <c r="D1445" s="84">
        <f t="shared" si="1541"/>
        <v>0</v>
      </c>
      <c r="E1445" s="45">
        <f t="shared" si="1627"/>
        <v>0</v>
      </c>
      <c r="F1445" s="45">
        <f t="shared" si="1628"/>
        <v>0</v>
      </c>
      <c r="G1445" s="79">
        <f t="shared" si="1629"/>
        <v>0</v>
      </c>
      <c r="H1445" s="199">
        <v>0</v>
      </c>
      <c r="I1445" s="199">
        <f>486+715</f>
        <v>1201</v>
      </c>
      <c r="J1445" s="200">
        <f t="shared" si="1624"/>
        <v>1201</v>
      </c>
      <c r="K1445" s="201">
        <f t="shared" si="1625"/>
        <v>1201</v>
      </c>
      <c r="L1445" s="276">
        <v>101</v>
      </c>
      <c r="M1445" s="249">
        <v>7.2916666666666671E-2</v>
      </c>
      <c r="N1445" s="153">
        <v>223697</v>
      </c>
      <c r="O1445" s="153">
        <v>111870</v>
      </c>
      <c r="P1445" s="153">
        <v>11047</v>
      </c>
      <c r="Q1445" s="153"/>
      <c r="R1445" s="153">
        <v>46589</v>
      </c>
      <c r="S1445" s="154">
        <v>900.5</v>
      </c>
      <c r="T1445" s="154"/>
      <c r="U1445" s="154"/>
      <c r="V1445" s="153">
        <v>322917</v>
      </c>
      <c r="W1445" s="153">
        <v>130398</v>
      </c>
      <c r="X1445" s="153">
        <v>115123</v>
      </c>
      <c r="Y1445" s="153">
        <v>92778</v>
      </c>
      <c r="Z1445" s="153">
        <v>221164</v>
      </c>
    </row>
    <row r="1446" spans="1:26" ht="18" hidden="1" customHeight="1" x14ac:dyDescent="0.2">
      <c r="A1446" s="279">
        <f t="shared" si="1496"/>
        <v>44297</v>
      </c>
      <c r="B1446" s="278" t="s">
        <v>190</v>
      </c>
      <c r="C1446" s="48">
        <f t="shared" si="1626"/>
        <v>2881</v>
      </c>
      <c r="D1446" s="84">
        <f t="shared" si="1541"/>
        <v>595</v>
      </c>
      <c r="E1446" s="45">
        <f t="shared" si="1627"/>
        <v>2680</v>
      </c>
      <c r="F1446" s="45">
        <f t="shared" si="1628"/>
        <v>335</v>
      </c>
      <c r="G1446" s="79">
        <f t="shared" si="1629"/>
        <v>6491</v>
      </c>
      <c r="H1446" s="199">
        <v>0</v>
      </c>
      <c r="I1446" s="199">
        <v>1008</v>
      </c>
      <c r="J1446" s="200">
        <f t="shared" si="1624"/>
        <v>1008</v>
      </c>
      <c r="K1446" s="201">
        <f t="shared" si="1625"/>
        <v>-5483</v>
      </c>
      <c r="L1446" s="276">
        <v>72</v>
      </c>
      <c r="M1446" s="249">
        <v>0.89583333333333337</v>
      </c>
      <c r="N1446" s="153">
        <v>223697</v>
      </c>
      <c r="O1446" s="153">
        <v>111870</v>
      </c>
      <c r="P1446" s="153">
        <v>11047</v>
      </c>
      <c r="Q1446" s="153"/>
      <c r="R1446" s="153">
        <v>46589</v>
      </c>
      <c r="S1446" s="154">
        <v>900.5</v>
      </c>
      <c r="T1446" s="154"/>
      <c r="U1446" s="154"/>
      <c r="V1446" s="153">
        <v>322917</v>
      </c>
      <c r="W1446" s="153">
        <v>130398</v>
      </c>
      <c r="X1446" s="153">
        <v>115123</v>
      </c>
      <c r="Y1446" s="153">
        <v>92778</v>
      </c>
      <c r="Z1446" s="153">
        <v>221164</v>
      </c>
    </row>
    <row r="1447" spans="1:26" ht="18" hidden="1" customHeight="1" x14ac:dyDescent="0.2">
      <c r="A1447" s="279">
        <f t="shared" si="1496"/>
        <v>44298</v>
      </c>
      <c r="B1447" s="280" t="s">
        <v>191</v>
      </c>
      <c r="C1447" s="48">
        <f t="shared" ref="C1447" si="1630">(V1448-V1447)*1+(W1448-W1447)*32+(X1448-X1447)*12+(Y1448-Y1447)*6</f>
        <v>2221</v>
      </c>
      <c r="D1447" s="84">
        <f t="shared" si="1541"/>
        <v>1455</v>
      </c>
      <c r="E1447" s="45">
        <f t="shared" ref="E1447" si="1631">(S1448-S1447)*80</f>
        <v>1991.9999999999982</v>
      </c>
      <c r="F1447" s="45">
        <f t="shared" ref="F1447" si="1632">(Z1448-Z1447)*1</f>
        <v>80</v>
      </c>
      <c r="G1447" s="79">
        <f t="shared" ref="G1447" si="1633">C1447+D1447+F1447+E1447</f>
        <v>5747.9999999999982</v>
      </c>
      <c r="H1447" s="199">
        <v>4835</v>
      </c>
      <c r="I1447" s="199">
        <v>685</v>
      </c>
      <c r="J1447" s="200">
        <f t="shared" si="1624"/>
        <v>5520</v>
      </c>
      <c r="K1447" s="201">
        <f t="shared" si="1625"/>
        <v>-227.99999999999818</v>
      </c>
      <c r="L1447" s="276">
        <v>455</v>
      </c>
      <c r="M1447" s="249">
        <v>0.59375</v>
      </c>
      <c r="N1447" s="235">
        <v>223767</v>
      </c>
      <c r="O1447" s="235">
        <v>111935</v>
      </c>
      <c r="P1447" s="235">
        <v>11047</v>
      </c>
      <c r="Q1447" s="235"/>
      <c r="R1447" s="235">
        <v>46624</v>
      </c>
      <c r="S1447" s="236">
        <v>934</v>
      </c>
      <c r="T1447" s="236"/>
      <c r="U1447" s="236"/>
      <c r="V1447" s="235">
        <v>323342</v>
      </c>
      <c r="W1447" s="235">
        <v>130447</v>
      </c>
      <c r="X1447" s="235">
        <v>115197</v>
      </c>
      <c r="Y1447" s="235">
        <v>92778</v>
      </c>
      <c r="Z1447" s="235">
        <v>221499</v>
      </c>
    </row>
    <row r="1448" spans="1:26" ht="18" hidden="1" customHeight="1" x14ac:dyDescent="0.2">
      <c r="A1448" s="279">
        <f t="shared" ref="A1448:A1511" si="1634">A1447+1</f>
        <v>44299</v>
      </c>
      <c r="B1448" s="280" t="s">
        <v>192</v>
      </c>
      <c r="C1448" s="48">
        <f t="shared" ref="C1448" si="1635">(V1449-V1448)*1+(W1449-W1448)*32+(X1449-X1448)*12+(Y1449-Y1448)*6</f>
        <v>2259</v>
      </c>
      <c r="D1448" s="84">
        <f t="shared" si="1541"/>
        <v>1375</v>
      </c>
      <c r="E1448" s="45">
        <f t="shared" ref="E1448" si="1636">(S1449-S1448)*80</f>
        <v>2144.0000000000055</v>
      </c>
      <c r="F1448" s="45">
        <f t="shared" ref="F1448" si="1637">(Z1449-Z1448)*1</f>
        <v>67</v>
      </c>
      <c r="G1448" s="79">
        <f t="shared" ref="G1448" si="1638">C1448+D1448+F1448+E1448</f>
        <v>5845.0000000000055</v>
      </c>
      <c r="H1448" s="199">
        <v>5060</v>
      </c>
      <c r="I1448" s="199">
        <v>1051</v>
      </c>
      <c r="J1448" s="200">
        <f t="shared" si="1624"/>
        <v>6111</v>
      </c>
      <c r="K1448" s="201">
        <f t="shared" si="1625"/>
        <v>265.99999999999454</v>
      </c>
      <c r="L1448" s="285">
        <v>523</v>
      </c>
      <c r="M1448" s="249">
        <v>0.38541666666666669</v>
      </c>
      <c r="N1448" s="235">
        <v>223947</v>
      </c>
      <c r="O1448" s="235">
        <v>112005</v>
      </c>
      <c r="P1448" s="235">
        <v>11047</v>
      </c>
      <c r="Q1448" s="235"/>
      <c r="R1448" s="235">
        <v>46639</v>
      </c>
      <c r="S1448" s="236">
        <v>958.9</v>
      </c>
      <c r="T1448" s="236"/>
      <c r="U1448" s="236"/>
      <c r="V1448" s="235">
        <v>323527</v>
      </c>
      <c r="W1448" s="235">
        <v>130484</v>
      </c>
      <c r="X1448" s="235">
        <v>115268</v>
      </c>
      <c r="Y1448" s="235">
        <v>92778</v>
      </c>
      <c r="Z1448" s="235">
        <v>221579</v>
      </c>
    </row>
    <row r="1449" spans="1:26" ht="18" hidden="1" customHeight="1" x14ac:dyDescent="0.2">
      <c r="A1449" s="279">
        <f t="shared" si="1634"/>
        <v>44300</v>
      </c>
      <c r="B1449" s="280" t="s">
        <v>193</v>
      </c>
      <c r="C1449" s="48">
        <f t="shared" ref="C1449" si="1639">(V1450-V1449)*1+(W1450-W1449)*32+(X1450-X1449)*12+(Y1450-Y1449)*6</f>
        <v>2141</v>
      </c>
      <c r="D1449" s="84">
        <f t="shared" si="1541"/>
        <v>2260</v>
      </c>
      <c r="E1449" s="45">
        <f t="shared" ref="E1449" si="1640">(S1450-S1449)*80</f>
        <v>2040</v>
      </c>
      <c r="F1449" s="45">
        <f t="shared" ref="F1449" si="1641">(Z1450-Z1449)*1</f>
        <v>88</v>
      </c>
      <c r="G1449" s="79">
        <f t="shared" ref="G1449" si="1642">C1449+D1449+F1449+E1449</f>
        <v>6529</v>
      </c>
      <c r="H1449" s="199">
        <v>4794</v>
      </c>
      <c r="I1449" s="199">
        <v>1046</v>
      </c>
      <c r="J1449" s="200">
        <f t="shared" si="1624"/>
        <v>5840</v>
      </c>
      <c r="K1449" s="201">
        <f t="shared" si="1625"/>
        <v>-689</v>
      </c>
      <c r="L1449" s="276">
        <v>470</v>
      </c>
      <c r="M1449" s="249">
        <v>0.41666666666666669</v>
      </c>
      <c r="N1449" s="235">
        <v>224117</v>
      </c>
      <c r="O1449" s="235">
        <v>112079</v>
      </c>
      <c r="P1449" s="235">
        <v>11047</v>
      </c>
      <c r="Q1449" s="235"/>
      <c r="R1449" s="235">
        <v>46654</v>
      </c>
      <c r="S1449" s="236">
        <v>985.7</v>
      </c>
      <c r="T1449" s="236"/>
      <c r="U1449" s="236"/>
      <c r="V1449" s="235">
        <v>323726</v>
      </c>
      <c r="W1449" s="235">
        <v>130521</v>
      </c>
      <c r="X1449" s="235">
        <v>115341</v>
      </c>
      <c r="Y1449" s="235">
        <v>92778</v>
      </c>
      <c r="Z1449" s="235">
        <v>221646</v>
      </c>
    </row>
    <row r="1450" spans="1:26" ht="18" hidden="1" customHeight="1" x14ac:dyDescent="0.2">
      <c r="A1450" s="279">
        <f t="shared" si="1634"/>
        <v>44301</v>
      </c>
      <c r="B1450" s="280" t="s">
        <v>194</v>
      </c>
      <c r="C1450" s="48">
        <f t="shared" ref="C1450" si="1643">(V1451-V1450)*1+(W1451-W1450)*32+(X1451-X1450)*12+(Y1451-Y1450)*6</f>
        <v>2031</v>
      </c>
      <c r="D1450" s="84">
        <f t="shared" si="1541"/>
        <v>1464</v>
      </c>
      <c r="E1450" s="45">
        <f t="shared" ref="E1450" si="1644">(S1451-S1450)*80</f>
        <v>1896.0000000000036</v>
      </c>
      <c r="F1450" s="45">
        <f t="shared" ref="F1450" si="1645">(Z1451-Z1450)*1</f>
        <v>88</v>
      </c>
      <c r="G1450" s="79">
        <f t="shared" ref="G1450" si="1646">C1450+D1450+F1450+E1450</f>
        <v>5479.0000000000036</v>
      </c>
      <c r="H1450" s="199">
        <v>4655</v>
      </c>
      <c r="I1450" s="199">
        <v>1069</v>
      </c>
      <c r="J1450" s="200">
        <f t="shared" si="1624"/>
        <v>5724</v>
      </c>
      <c r="K1450" s="201">
        <f t="shared" si="1625"/>
        <v>244.99999999999636</v>
      </c>
      <c r="L1450" s="276">
        <v>447</v>
      </c>
      <c r="M1450" s="249">
        <v>0.42708333333333331</v>
      </c>
      <c r="N1450" s="235">
        <v>224397</v>
      </c>
      <c r="O1450" s="235">
        <v>112137</v>
      </c>
      <c r="P1450" s="235">
        <v>11047</v>
      </c>
      <c r="Q1450" s="235"/>
      <c r="R1450" s="235">
        <v>46674</v>
      </c>
      <c r="S1450" s="236">
        <v>1011.2</v>
      </c>
      <c r="T1450" s="236"/>
      <c r="U1450" s="236"/>
      <c r="V1450" s="235">
        <v>323891</v>
      </c>
      <c r="W1450" s="235">
        <v>130555</v>
      </c>
      <c r="X1450" s="235">
        <v>115415</v>
      </c>
      <c r="Y1450" s="235">
        <v>92778</v>
      </c>
      <c r="Z1450" s="235">
        <v>221734</v>
      </c>
    </row>
    <row r="1451" spans="1:26" ht="18" hidden="1" customHeight="1" x14ac:dyDescent="0.2">
      <c r="A1451" s="279">
        <f t="shared" si="1634"/>
        <v>44302</v>
      </c>
      <c r="B1451" s="278" t="s">
        <v>189</v>
      </c>
      <c r="C1451" s="48">
        <f t="shared" ref="C1451:C1453" si="1647">(V1452-V1451)*1+(W1452-W1451)*32+(X1452-X1451)*12+(Y1452-Y1451)*6</f>
        <v>0</v>
      </c>
      <c r="D1451" s="84">
        <f t="shared" si="1541"/>
        <v>0</v>
      </c>
      <c r="E1451" s="45">
        <f t="shared" ref="E1451:E1453" si="1648">(S1452-S1451)*80</f>
        <v>0</v>
      </c>
      <c r="F1451" s="45">
        <f t="shared" ref="F1451:F1453" si="1649">(Z1452-Z1451)*1</f>
        <v>0</v>
      </c>
      <c r="G1451" s="79">
        <f t="shared" ref="G1451:G1453" si="1650">C1451+D1451+F1451+E1451</f>
        <v>0</v>
      </c>
      <c r="H1451" s="199">
        <v>4493</v>
      </c>
      <c r="I1451" s="199">
        <v>1040</v>
      </c>
      <c r="J1451" s="200">
        <f t="shared" si="1624"/>
        <v>5533</v>
      </c>
      <c r="K1451" s="201">
        <f t="shared" si="1625"/>
        <v>5533</v>
      </c>
      <c r="L1451" s="276">
        <v>447</v>
      </c>
      <c r="M1451" s="249">
        <v>0.38541666666666669</v>
      </c>
      <c r="N1451" s="235">
        <v>224578</v>
      </c>
      <c r="O1451" s="235">
        <v>112204</v>
      </c>
      <c r="P1451" s="235">
        <v>11047</v>
      </c>
      <c r="Q1451" s="235"/>
      <c r="R1451" s="235">
        <v>46690</v>
      </c>
      <c r="S1451" s="236">
        <v>1034.9000000000001</v>
      </c>
      <c r="T1451" s="236"/>
      <c r="U1451" s="236"/>
      <c r="V1451" s="235">
        <v>324058</v>
      </c>
      <c r="W1451" s="235">
        <v>130587</v>
      </c>
      <c r="X1451" s="235">
        <v>115485</v>
      </c>
      <c r="Y1451" s="235">
        <v>92778</v>
      </c>
      <c r="Z1451" s="235">
        <v>221822</v>
      </c>
    </row>
    <row r="1452" spans="1:26" ht="18" hidden="1" customHeight="1" x14ac:dyDescent="0.2">
      <c r="A1452" s="279">
        <f t="shared" si="1634"/>
        <v>44303</v>
      </c>
      <c r="B1452" s="279" t="s">
        <v>195</v>
      </c>
      <c r="C1452" s="48">
        <f t="shared" si="1647"/>
        <v>0</v>
      </c>
      <c r="D1452" s="84">
        <f t="shared" si="1541"/>
        <v>0</v>
      </c>
      <c r="E1452" s="45">
        <f t="shared" si="1648"/>
        <v>0</v>
      </c>
      <c r="F1452" s="45">
        <f t="shared" si="1649"/>
        <v>0</v>
      </c>
      <c r="G1452" s="79">
        <f t="shared" si="1650"/>
        <v>0</v>
      </c>
      <c r="H1452" s="199">
        <v>0</v>
      </c>
      <c r="I1452" s="199">
        <f>966+770</f>
        <v>1736</v>
      </c>
      <c r="J1452" s="200">
        <f t="shared" si="1624"/>
        <v>1736</v>
      </c>
      <c r="K1452" s="201">
        <f t="shared" si="1625"/>
        <v>1736</v>
      </c>
      <c r="L1452" s="276">
        <v>101</v>
      </c>
      <c r="M1452" s="249">
        <v>8.3333333333333329E-2</v>
      </c>
      <c r="N1452" s="153">
        <v>224578</v>
      </c>
      <c r="O1452" s="153">
        <v>112204</v>
      </c>
      <c r="P1452" s="153">
        <v>11047</v>
      </c>
      <c r="Q1452" s="153"/>
      <c r="R1452" s="153">
        <v>46690</v>
      </c>
      <c r="S1452" s="154">
        <v>1034.9000000000001</v>
      </c>
      <c r="T1452" s="154"/>
      <c r="U1452" s="154"/>
      <c r="V1452" s="153">
        <v>324058</v>
      </c>
      <c r="W1452" s="153">
        <v>130587</v>
      </c>
      <c r="X1452" s="153">
        <v>115485</v>
      </c>
      <c r="Y1452" s="153">
        <v>92778</v>
      </c>
      <c r="Z1452" s="153">
        <v>221822</v>
      </c>
    </row>
    <row r="1453" spans="1:26" ht="18" hidden="1" customHeight="1" x14ac:dyDescent="0.2">
      <c r="A1453" s="279">
        <f t="shared" si="1634"/>
        <v>44304</v>
      </c>
      <c r="B1453" s="278" t="s">
        <v>190</v>
      </c>
      <c r="C1453" s="48">
        <f t="shared" si="1647"/>
        <v>2876</v>
      </c>
      <c r="D1453" s="84">
        <f t="shared" si="1541"/>
        <v>2222</v>
      </c>
      <c r="E1453" s="45">
        <f t="shared" si="1648"/>
        <v>2151.9999999999891</v>
      </c>
      <c r="F1453" s="45">
        <f t="shared" si="1649"/>
        <v>269</v>
      </c>
      <c r="G1453" s="79">
        <f t="shared" si="1650"/>
        <v>7518.9999999999891</v>
      </c>
      <c r="H1453" s="199">
        <v>0</v>
      </c>
      <c r="I1453" s="199">
        <v>1775</v>
      </c>
      <c r="J1453" s="200">
        <f t="shared" si="1624"/>
        <v>1775</v>
      </c>
      <c r="K1453" s="201">
        <f t="shared" si="1625"/>
        <v>-5743.9999999999891</v>
      </c>
      <c r="L1453" s="276">
        <v>106</v>
      </c>
      <c r="M1453" s="249">
        <v>0.88541666666666663</v>
      </c>
      <c r="N1453" s="153">
        <v>224578</v>
      </c>
      <c r="O1453" s="153">
        <v>112204</v>
      </c>
      <c r="P1453" s="153">
        <v>11047</v>
      </c>
      <c r="Q1453" s="153"/>
      <c r="R1453" s="153">
        <v>46690</v>
      </c>
      <c r="S1453" s="154">
        <v>1034.9000000000001</v>
      </c>
      <c r="T1453" s="154"/>
      <c r="U1453" s="154"/>
      <c r="V1453" s="153">
        <v>324058</v>
      </c>
      <c r="W1453" s="153">
        <v>130587</v>
      </c>
      <c r="X1453" s="153">
        <v>115485</v>
      </c>
      <c r="Y1453" s="153">
        <v>92778</v>
      </c>
      <c r="Z1453" s="153">
        <v>221822</v>
      </c>
    </row>
    <row r="1454" spans="1:26" ht="18" hidden="1" customHeight="1" x14ac:dyDescent="0.2">
      <c r="A1454" s="279">
        <f t="shared" si="1634"/>
        <v>44305</v>
      </c>
      <c r="B1454" s="280" t="s">
        <v>191</v>
      </c>
      <c r="C1454" s="48">
        <f t="shared" ref="C1454" si="1651">(V1455-V1454)*1+(W1455-W1454)*32+(X1455-X1454)*12+(Y1455-Y1454)*6</f>
        <v>2177</v>
      </c>
      <c r="D1454" s="84">
        <f t="shared" si="1541"/>
        <v>1539</v>
      </c>
      <c r="E1454" s="45">
        <f t="shared" ref="E1454" si="1652">(S1455-S1454)*80</f>
        <v>1952.0000000000073</v>
      </c>
      <c r="F1454" s="45">
        <f t="shared" ref="F1454" si="1653">(Z1455-Z1454)*1</f>
        <v>91</v>
      </c>
      <c r="G1454" s="79">
        <f t="shared" ref="G1454" si="1654">C1454+D1454+F1454+E1454</f>
        <v>5759.0000000000073</v>
      </c>
      <c r="H1454" s="199">
        <v>4728</v>
      </c>
      <c r="I1454" s="199">
        <v>940</v>
      </c>
      <c r="J1454" s="200">
        <f t="shared" si="1624"/>
        <v>5668</v>
      </c>
      <c r="K1454" s="201">
        <f t="shared" si="1625"/>
        <v>-91.000000000007276</v>
      </c>
      <c r="L1454" s="276">
        <v>449</v>
      </c>
      <c r="M1454" s="249">
        <v>0.38541666666666669</v>
      </c>
      <c r="N1454" s="235">
        <v>224847</v>
      </c>
      <c r="O1454" s="235">
        <v>112344</v>
      </c>
      <c r="P1454" s="235">
        <v>11047</v>
      </c>
      <c r="Q1454" s="235"/>
      <c r="R1454" s="235">
        <v>46760</v>
      </c>
      <c r="S1454" s="236">
        <v>1061.8</v>
      </c>
      <c r="T1454" s="236"/>
      <c r="U1454" s="236"/>
      <c r="V1454" s="235">
        <v>324466</v>
      </c>
      <c r="W1454" s="235">
        <v>130639</v>
      </c>
      <c r="X1454" s="235">
        <v>115552</v>
      </c>
      <c r="Y1454" s="235">
        <v>92778</v>
      </c>
      <c r="Z1454" s="235">
        <v>222091</v>
      </c>
    </row>
    <row r="1455" spans="1:26" ht="18" hidden="1" customHeight="1" x14ac:dyDescent="0.2">
      <c r="A1455" s="279">
        <f t="shared" si="1634"/>
        <v>44306</v>
      </c>
      <c r="B1455" s="280" t="s">
        <v>192</v>
      </c>
      <c r="C1455" s="48">
        <f t="shared" ref="C1455" si="1655">(V1456-V1455)*1+(W1456-W1455)*32+(X1456-X1455)*12+(Y1456-Y1455)*6</f>
        <v>2215</v>
      </c>
      <c r="D1455" s="84">
        <f t="shared" si="1541"/>
        <v>1475</v>
      </c>
      <c r="E1455" s="45">
        <f t="shared" ref="E1455" si="1656">(S1456-S1455)*80</f>
        <v>1976.0000000000036</v>
      </c>
      <c r="F1455" s="45">
        <f t="shared" ref="F1455" si="1657">(Z1456-Z1455)*1</f>
        <v>82</v>
      </c>
      <c r="G1455" s="79">
        <f t="shared" ref="G1455" si="1658">C1455+D1455+F1455+E1455</f>
        <v>5748.0000000000036</v>
      </c>
      <c r="H1455" s="199">
        <v>4966</v>
      </c>
      <c r="I1455" s="199">
        <v>1087</v>
      </c>
      <c r="J1455" s="200">
        <f t="shared" si="1624"/>
        <v>6053</v>
      </c>
      <c r="K1455" s="201">
        <f t="shared" si="1625"/>
        <v>304.99999999999636</v>
      </c>
      <c r="L1455" s="276">
        <v>463</v>
      </c>
      <c r="M1455" s="249">
        <v>0.59375</v>
      </c>
      <c r="N1455" s="235">
        <v>225037</v>
      </c>
      <c r="O1455" s="235">
        <v>112416</v>
      </c>
      <c r="P1455" s="235">
        <v>11047</v>
      </c>
      <c r="Q1455" s="235"/>
      <c r="R1455" s="235">
        <v>46779</v>
      </c>
      <c r="S1455" s="236">
        <v>1086.2</v>
      </c>
      <c r="T1455" s="236"/>
      <c r="U1455" s="236"/>
      <c r="V1455" s="235">
        <v>324647</v>
      </c>
      <c r="W1455" s="235">
        <v>130674</v>
      </c>
      <c r="X1455" s="235">
        <v>115625</v>
      </c>
      <c r="Y1455" s="235">
        <v>92778</v>
      </c>
      <c r="Z1455" s="235">
        <v>222182</v>
      </c>
    </row>
    <row r="1456" spans="1:26" ht="18" hidden="1" customHeight="1" x14ac:dyDescent="0.2">
      <c r="A1456" s="279">
        <f t="shared" si="1634"/>
        <v>44307</v>
      </c>
      <c r="B1456" s="280" t="s">
        <v>193</v>
      </c>
      <c r="C1456" s="48">
        <f t="shared" ref="C1456" si="1659">(V1457-V1456)*1+(W1457-W1456)*32+(X1457-X1456)*12+(Y1457-Y1456)*6</f>
        <v>2289</v>
      </c>
      <c r="D1456" s="84">
        <f t="shared" si="1541"/>
        <v>1459</v>
      </c>
      <c r="E1456" s="45">
        <f t="shared" ref="E1456" si="1660">(S1457-S1456)*80</f>
        <v>1960</v>
      </c>
      <c r="F1456" s="45">
        <f t="shared" ref="F1456" si="1661">(Z1457-Z1456)*1</f>
        <v>73</v>
      </c>
      <c r="G1456" s="79">
        <f t="shared" ref="G1456" si="1662">C1456+D1456+F1456+E1456</f>
        <v>5781</v>
      </c>
      <c r="H1456" s="199">
        <v>4877</v>
      </c>
      <c r="I1456" s="199">
        <v>1069</v>
      </c>
      <c r="J1456" s="200">
        <f t="shared" si="1624"/>
        <v>5946</v>
      </c>
      <c r="K1456" s="201">
        <f t="shared" si="1625"/>
        <v>165</v>
      </c>
      <c r="L1456" s="276">
        <v>473</v>
      </c>
      <c r="M1456" s="249">
        <v>0.38541666666666669</v>
      </c>
      <c r="N1456" s="235">
        <v>225217</v>
      </c>
      <c r="O1456" s="235">
        <v>112482</v>
      </c>
      <c r="P1456" s="235">
        <v>11047</v>
      </c>
      <c r="Q1456" s="235"/>
      <c r="R1456" s="235">
        <v>46814</v>
      </c>
      <c r="S1456" s="236">
        <v>1110.9000000000001</v>
      </c>
      <c r="T1456" s="236"/>
      <c r="U1456" s="236"/>
      <c r="V1456" s="235">
        <v>324822</v>
      </c>
      <c r="W1456" s="235">
        <v>130710</v>
      </c>
      <c r="X1456" s="235">
        <v>115699</v>
      </c>
      <c r="Y1456" s="235">
        <v>92778</v>
      </c>
      <c r="Z1456" s="235">
        <v>222264</v>
      </c>
    </row>
    <row r="1457" spans="1:26" ht="18" hidden="1" customHeight="1" x14ac:dyDescent="0.2">
      <c r="A1457" s="279">
        <f t="shared" si="1634"/>
        <v>44308</v>
      </c>
      <c r="B1457" s="280" t="s">
        <v>194</v>
      </c>
      <c r="C1457" s="48">
        <f t="shared" ref="C1457" si="1663">(V1458-V1457)*1+(W1458-W1457)*32+(X1458-X1457)*12+(Y1458-Y1457)*6</f>
        <v>2379</v>
      </c>
      <c r="D1457" s="84">
        <f t="shared" si="1541"/>
        <v>1455</v>
      </c>
      <c r="E1457" s="45">
        <f t="shared" ref="E1457" si="1664">(S1458-S1457)*80</f>
        <v>1903.9999999999964</v>
      </c>
      <c r="F1457" s="45">
        <f t="shared" ref="F1457" si="1665">(Z1458-Z1457)*1</f>
        <v>72</v>
      </c>
      <c r="G1457" s="79">
        <f t="shared" ref="G1457" si="1666">C1457+D1457+F1457+E1457</f>
        <v>5809.9999999999964</v>
      </c>
      <c r="H1457" s="199">
        <v>4964</v>
      </c>
      <c r="I1457" s="199">
        <v>1023</v>
      </c>
      <c r="J1457" s="200">
        <f t="shared" si="1624"/>
        <v>5987</v>
      </c>
      <c r="K1457" s="201">
        <f t="shared" si="1625"/>
        <v>177.00000000000364</v>
      </c>
      <c r="L1457" s="276">
        <v>482</v>
      </c>
      <c r="M1457" s="276" t="s">
        <v>201</v>
      </c>
      <c r="N1457" s="235">
        <v>225397</v>
      </c>
      <c r="O1457" s="235">
        <v>112551</v>
      </c>
      <c r="P1457" s="235">
        <v>11047</v>
      </c>
      <c r="Q1457" s="235"/>
      <c r="R1457" s="235">
        <v>46833</v>
      </c>
      <c r="S1457" s="236">
        <v>1135.4000000000001</v>
      </c>
      <c r="T1457" s="236"/>
      <c r="U1457" s="236"/>
      <c r="V1457" s="235">
        <v>325003</v>
      </c>
      <c r="W1457" s="235">
        <v>130747</v>
      </c>
      <c r="X1457" s="235">
        <v>115776</v>
      </c>
      <c r="Y1457" s="235">
        <v>92778</v>
      </c>
      <c r="Z1457" s="235">
        <v>222337</v>
      </c>
    </row>
    <row r="1458" spans="1:26" ht="18" hidden="1" customHeight="1" x14ac:dyDescent="0.2">
      <c r="A1458" s="279">
        <f t="shared" si="1634"/>
        <v>44309</v>
      </c>
      <c r="B1458" s="278" t="s">
        <v>189</v>
      </c>
      <c r="C1458" s="48">
        <f t="shared" ref="C1458:C1459" si="1667">(V1459-V1458)*1+(W1459-W1458)*32+(X1459-X1458)*12+(Y1459-Y1458)*6</f>
        <v>0</v>
      </c>
      <c r="D1458" s="84">
        <f t="shared" si="1541"/>
        <v>0</v>
      </c>
      <c r="E1458" s="45">
        <f t="shared" ref="E1458:E1460" si="1668">(S1459-S1458)*80</f>
        <v>0</v>
      </c>
      <c r="F1458" s="45">
        <f t="shared" ref="F1458:F1460" si="1669">(Z1459-Z1458)*1</f>
        <v>0</v>
      </c>
      <c r="G1458" s="79">
        <f t="shared" ref="G1458:G1460" si="1670">C1458+D1458+F1458+E1458</f>
        <v>0</v>
      </c>
      <c r="H1458" s="199">
        <v>4431</v>
      </c>
      <c r="I1458" s="199">
        <v>975</v>
      </c>
      <c r="J1458" s="200">
        <f t="shared" si="1624"/>
        <v>5406</v>
      </c>
      <c r="K1458" s="201">
        <f t="shared" si="1625"/>
        <v>5406</v>
      </c>
      <c r="L1458" s="276">
        <v>439</v>
      </c>
      <c r="M1458" s="249">
        <v>0.44791666666666669</v>
      </c>
      <c r="N1458" s="235">
        <v>225577</v>
      </c>
      <c r="O1458" s="235">
        <v>112611</v>
      </c>
      <c r="P1458" s="235">
        <v>11047</v>
      </c>
      <c r="Q1458" s="235"/>
      <c r="R1458" s="235">
        <v>46848</v>
      </c>
      <c r="S1458" s="236">
        <v>1159.2</v>
      </c>
      <c r="T1458" s="236"/>
      <c r="U1458" s="236"/>
      <c r="V1458" s="235">
        <v>325194</v>
      </c>
      <c r="W1458" s="235">
        <v>130788</v>
      </c>
      <c r="X1458" s="235">
        <v>115849</v>
      </c>
      <c r="Y1458" s="235">
        <v>92778</v>
      </c>
      <c r="Z1458" s="235">
        <v>222409</v>
      </c>
    </row>
    <row r="1459" spans="1:26" ht="18" hidden="1" customHeight="1" x14ac:dyDescent="0.2">
      <c r="A1459" s="279">
        <f t="shared" si="1634"/>
        <v>44310</v>
      </c>
      <c r="B1459" s="279" t="s">
        <v>195</v>
      </c>
      <c r="C1459" s="48">
        <f t="shared" si="1667"/>
        <v>0</v>
      </c>
      <c r="D1459" s="84">
        <f t="shared" si="1541"/>
        <v>0</v>
      </c>
      <c r="E1459" s="45">
        <f t="shared" si="1668"/>
        <v>0</v>
      </c>
      <c r="F1459" s="45">
        <f t="shared" si="1669"/>
        <v>0</v>
      </c>
      <c r="G1459" s="79">
        <f t="shared" si="1670"/>
        <v>0</v>
      </c>
      <c r="H1459" s="199">
        <v>0</v>
      </c>
      <c r="I1459" s="199">
        <f>442+621</f>
        <v>1063</v>
      </c>
      <c r="J1459" s="200">
        <f t="shared" si="1624"/>
        <v>1063</v>
      </c>
      <c r="K1459" s="201">
        <f t="shared" si="1625"/>
        <v>1063</v>
      </c>
      <c r="L1459" s="276">
        <v>88</v>
      </c>
      <c r="M1459" s="276" t="s">
        <v>202</v>
      </c>
      <c r="N1459" s="153">
        <v>225577</v>
      </c>
      <c r="O1459" s="153">
        <v>112611</v>
      </c>
      <c r="P1459" s="153">
        <v>11047</v>
      </c>
      <c r="Q1459" s="153"/>
      <c r="R1459" s="153">
        <v>46848</v>
      </c>
      <c r="S1459" s="154">
        <v>1159.2</v>
      </c>
      <c r="T1459" s="154"/>
      <c r="U1459" s="154"/>
      <c r="V1459" s="153">
        <v>325194</v>
      </c>
      <c r="W1459" s="153">
        <v>130788</v>
      </c>
      <c r="X1459" s="153">
        <v>115849</v>
      </c>
      <c r="Y1459" s="153">
        <v>92778</v>
      </c>
      <c r="Z1459" s="153">
        <v>222409</v>
      </c>
    </row>
    <row r="1460" spans="1:26" ht="18" hidden="1" customHeight="1" x14ac:dyDescent="0.2">
      <c r="A1460" s="279">
        <f t="shared" si="1634"/>
        <v>44311</v>
      </c>
      <c r="B1460" s="278" t="s">
        <v>190</v>
      </c>
      <c r="C1460" s="48">
        <f>(V1461-V1460)*1+(W1461-W1460)*32+(X1461-X1460)*12+(Y1461-Y1460)*6</f>
        <v>2992</v>
      </c>
      <c r="D1460" s="84">
        <f t="shared" si="1541"/>
        <v>1157</v>
      </c>
      <c r="E1460" s="45">
        <f t="shared" si="1668"/>
        <v>2063.9999999999964</v>
      </c>
      <c r="F1460" s="45">
        <f t="shared" si="1669"/>
        <v>192</v>
      </c>
      <c r="G1460" s="79">
        <f t="shared" si="1670"/>
        <v>6404.9999999999964</v>
      </c>
      <c r="H1460" s="199">
        <v>0</v>
      </c>
      <c r="I1460" s="199">
        <v>877</v>
      </c>
      <c r="J1460" s="200">
        <f t="shared" si="1624"/>
        <v>877</v>
      </c>
      <c r="K1460" s="201">
        <f t="shared" si="1625"/>
        <v>-5527.9999999999964</v>
      </c>
      <c r="L1460" s="276">
        <v>69</v>
      </c>
      <c r="M1460" s="249">
        <v>0.86458333333333337</v>
      </c>
      <c r="N1460" s="153">
        <v>225577</v>
      </c>
      <c r="O1460" s="153">
        <v>112611</v>
      </c>
      <c r="P1460" s="153">
        <v>11047</v>
      </c>
      <c r="Q1460" s="153"/>
      <c r="R1460" s="153">
        <v>46848</v>
      </c>
      <c r="S1460" s="154">
        <v>1159.2</v>
      </c>
      <c r="T1460" s="154"/>
      <c r="U1460" s="154"/>
      <c r="V1460" s="153">
        <v>325194</v>
      </c>
      <c r="W1460" s="153">
        <v>130788</v>
      </c>
      <c r="X1460" s="153">
        <v>115849</v>
      </c>
      <c r="Y1460" s="153">
        <v>92778</v>
      </c>
      <c r="Z1460" s="153">
        <v>222409</v>
      </c>
    </row>
    <row r="1461" spans="1:26" ht="18" hidden="1" customHeight="1" x14ac:dyDescent="0.2">
      <c r="A1461" s="279">
        <f t="shared" si="1634"/>
        <v>44312</v>
      </c>
      <c r="B1461" s="280" t="s">
        <v>191</v>
      </c>
      <c r="C1461" s="48">
        <f t="shared" ref="C1461" si="1671">(V1462-V1461)*1+(W1462-W1461)*32+(X1462-X1461)*12+(Y1462-Y1461)*6</f>
        <v>2251</v>
      </c>
      <c r="D1461" s="84">
        <f t="shared" si="1541"/>
        <v>1372</v>
      </c>
      <c r="E1461" s="45">
        <f t="shared" ref="E1461" si="1672">(S1462-S1461)*80</f>
        <v>2103.9999999999964</v>
      </c>
      <c r="F1461" s="45">
        <f t="shared" ref="F1461" si="1673">(Z1462-Z1461)*1</f>
        <v>57</v>
      </c>
      <c r="G1461" s="79">
        <f t="shared" ref="G1461" si="1674">C1461+D1461+F1461+E1461</f>
        <v>5783.9999999999964</v>
      </c>
      <c r="H1461" s="199">
        <v>4963</v>
      </c>
      <c r="I1461" s="199">
        <v>632</v>
      </c>
      <c r="J1461" s="200">
        <f t="shared" si="1624"/>
        <v>5595</v>
      </c>
      <c r="K1461" s="201">
        <f t="shared" si="1625"/>
        <v>-188.99999999999636</v>
      </c>
      <c r="L1461" s="276">
        <v>484</v>
      </c>
      <c r="M1461" s="249">
        <v>0.41666666666666669</v>
      </c>
      <c r="N1461" s="235">
        <v>225717</v>
      </c>
      <c r="O1461" s="235">
        <v>112673</v>
      </c>
      <c r="P1461" s="235">
        <v>11047</v>
      </c>
      <c r="Q1461" s="235"/>
      <c r="R1461" s="235">
        <v>46885</v>
      </c>
      <c r="S1461" s="236">
        <v>1185</v>
      </c>
      <c r="T1461" s="236"/>
      <c r="U1461" s="236"/>
      <c r="V1461" s="235">
        <v>325634</v>
      </c>
      <c r="W1461" s="235">
        <v>130843</v>
      </c>
      <c r="X1461" s="235">
        <v>115915</v>
      </c>
      <c r="Y1461" s="235">
        <v>92778</v>
      </c>
      <c r="Z1461" s="235">
        <v>222601</v>
      </c>
    </row>
    <row r="1462" spans="1:26" ht="18" hidden="1" customHeight="1" x14ac:dyDescent="0.2">
      <c r="A1462" s="279">
        <f t="shared" si="1634"/>
        <v>44313</v>
      </c>
      <c r="B1462" s="280" t="s">
        <v>192</v>
      </c>
      <c r="C1462" s="48">
        <f t="shared" ref="C1462" si="1675">(V1463-V1462)*1+(W1463-W1462)*32+(X1463-X1462)*12+(Y1463-Y1462)*6</f>
        <v>2375</v>
      </c>
      <c r="D1462" s="84">
        <f t="shared" si="1541"/>
        <v>1227</v>
      </c>
      <c r="E1462" s="45">
        <f t="shared" ref="E1462" si="1676">(S1463-S1462)*80</f>
        <v>2112.0000000000073</v>
      </c>
      <c r="F1462" s="45">
        <f t="shared" ref="F1462" si="1677">(Z1463-Z1462)*1</f>
        <v>49</v>
      </c>
      <c r="G1462" s="79">
        <f t="shared" ref="G1462" si="1678">C1462+D1462+F1462+E1462</f>
        <v>5763.0000000000073</v>
      </c>
      <c r="H1462" s="199">
        <v>4953</v>
      </c>
      <c r="I1462" s="199">
        <v>990</v>
      </c>
      <c r="J1462" s="200">
        <f t="shared" si="1624"/>
        <v>5943</v>
      </c>
      <c r="K1462" s="201">
        <f t="shared" si="1625"/>
        <v>179.99999999999272</v>
      </c>
      <c r="L1462" s="276">
        <v>480</v>
      </c>
      <c r="M1462" s="249">
        <v>0.40625</v>
      </c>
      <c r="N1462" s="235">
        <v>225887</v>
      </c>
      <c r="O1462" s="235">
        <v>112737</v>
      </c>
      <c r="P1462" s="235">
        <v>11047</v>
      </c>
      <c r="Q1462" s="235"/>
      <c r="R1462" s="235">
        <v>46897</v>
      </c>
      <c r="S1462" s="236">
        <v>1211.3</v>
      </c>
      <c r="T1462" s="236"/>
      <c r="U1462" s="236"/>
      <c r="V1462" s="235">
        <v>325809</v>
      </c>
      <c r="W1462" s="235">
        <v>130879</v>
      </c>
      <c r="X1462" s="235">
        <v>115992</v>
      </c>
      <c r="Y1462" s="235">
        <v>92778</v>
      </c>
      <c r="Z1462" s="235">
        <v>222658</v>
      </c>
    </row>
    <row r="1463" spans="1:26" ht="18" hidden="1" customHeight="1" x14ac:dyDescent="0.2">
      <c r="A1463" s="279">
        <f t="shared" si="1634"/>
        <v>44314</v>
      </c>
      <c r="B1463" s="280" t="s">
        <v>193</v>
      </c>
      <c r="C1463" s="48">
        <f t="shared" ref="C1463" si="1679">(V1464-V1463)*1+(W1464-W1463)*32+(X1464-X1463)*12+(Y1464-Y1463)*6</f>
        <v>2077</v>
      </c>
      <c r="D1463" s="84">
        <f t="shared" si="1541"/>
        <v>1360</v>
      </c>
      <c r="E1463" s="45">
        <f t="shared" ref="E1463" si="1680">(S1464-S1463)*80</f>
        <v>2136.0000000000036</v>
      </c>
      <c r="F1463" s="45">
        <f t="shared" ref="F1463" si="1681">(Z1464-Z1463)*1</f>
        <v>57</v>
      </c>
      <c r="G1463" s="79">
        <f t="shared" ref="G1463" si="1682">C1463+D1463+F1463+E1463</f>
        <v>5630.0000000000036</v>
      </c>
      <c r="H1463" s="199">
        <v>4882</v>
      </c>
      <c r="I1463" s="199">
        <v>1006</v>
      </c>
      <c r="J1463" s="200">
        <f t="shared" si="1624"/>
        <v>5888</v>
      </c>
      <c r="K1463" s="201">
        <f t="shared" si="1625"/>
        <v>257.99999999999636</v>
      </c>
      <c r="L1463" s="276">
        <v>448</v>
      </c>
      <c r="M1463" s="249">
        <v>0.46875</v>
      </c>
      <c r="N1463" s="235">
        <v>226037</v>
      </c>
      <c r="O1463" s="235">
        <v>112797</v>
      </c>
      <c r="P1463" s="235">
        <v>11049</v>
      </c>
      <c r="Q1463" s="235"/>
      <c r="R1463" s="235">
        <v>46908</v>
      </c>
      <c r="S1463" s="236">
        <v>1237.7</v>
      </c>
      <c r="T1463" s="236"/>
      <c r="U1463" s="236"/>
      <c r="V1463" s="235">
        <v>325992</v>
      </c>
      <c r="W1463" s="235">
        <v>130919</v>
      </c>
      <c r="X1463" s="235">
        <v>116068</v>
      </c>
      <c r="Y1463" s="235">
        <v>92778</v>
      </c>
      <c r="Z1463" s="235">
        <v>222707</v>
      </c>
    </row>
    <row r="1464" spans="1:26" ht="18" hidden="1" customHeight="1" x14ac:dyDescent="0.2">
      <c r="A1464" s="279">
        <f t="shared" si="1634"/>
        <v>44315</v>
      </c>
      <c r="B1464" s="280" t="s">
        <v>194</v>
      </c>
      <c r="C1464" s="48">
        <f t="shared" ref="C1464:C1467" si="1683">(V1465-V1464)*1+(W1465-W1464)*32+(X1465-X1464)*12+(Y1465-Y1464)*6</f>
        <v>0</v>
      </c>
      <c r="D1464" s="84">
        <f t="shared" si="1541"/>
        <v>0</v>
      </c>
      <c r="E1464" s="45">
        <f t="shared" ref="E1464:E1467" si="1684">(S1465-S1464)*80</f>
        <v>0</v>
      </c>
      <c r="F1464" s="45">
        <f t="shared" ref="F1464:F1467" si="1685">(Z1465-Z1464)*1</f>
        <v>0</v>
      </c>
      <c r="G1464" s="79">
        <f t="shared" ref="G1464:G1467" si="1686">C1464+D1464+F1464+E1464</f>
        <v>0</v>
      </c>
      <c r="H1464" s="199">
        <v>4635</v>
      </c>
      <c r="I1464" s="199">
        <v>985</v>
      </c>
      <c r="J1464" s="200">
        <f t="shared" si="1624"/>
        <v>5620</v>
      </c>
      <c r="K1464" s="201">
        <f t="shared" si="1625"/>
        <v>5620</v>
      </c>
      <c r="L1464" s="276">
        <v>450</v>
      </c>
      <c r="M1464" s="249">
        <v>0.46875</v>
      </c>
      <c r="N1464" s="235">
        <v>226207</v>
      </c>
      <c r="O1464" s="235">
        <v>112859</v>
      </c>
      <c r="P1464" s="235">
        <v>11047</v>
      </c>
      <c r="Q1464" s="235"/>
      <c r="R1464" s="235">
        <v>46924</v>
      </c>
      <c r="S1464" s="236">
        <v>1264.4000000000001</v>
      </c>
      <c r="T1464" s="236"/>
      <c r="U1464" s="236"/>
      <c r="V1464" s="235">
        <v>326169</v>
      </c>
      <c r="W1464" s="235">
        <v>130951</v>
      </c>
      <c r="X1464" s="235">
        <v>116141</v>
      </c>
      <c r="Y1464" s="235">
        <v>92778</v>
      </c>
      <c r="Z1464" s="235">
        <v>222764</v>
      </c>
    </row>
    <row r="1465" spans="1:26" ht="18" hidden="1" customHeight="1" x14ac:dyDescent="0.2">
      <c r="A1465" s="279">
        <f t="shared" si="1634"/>
        <v>44316</v>
      </c>
      <c r="B1465" s="278" t="s">
        <v>189</v>
      </c>
      <c r="C1465" s="48">
        <f t="shared" si="1683"/>
        <v>0</v>
      </c>
      <c r="D1465" s="84">
        <f t="shared" si="1541"/>
        <v>0</v>
      </c>
      <c r="E1465" s="45">
        <f t="shared" si="1684"/>
        <v>0</v>
      </c>
      <c r="F1465" s="45">
        <f t="shared" si="1685"/>
        <v>0</v>
      </c>
      <c r="G1465" s="79">
        <f t="shared" si="1686"/>
        <v>0</v>
      </c>
      <c r="H1465" s="199">
        <v>497</v>
      </c>
      <c r="I1465" s="199">
        <v>717</v>
      </c>
      <c r="J1465" s="200">
        <f t="shared" si="1624"/>
        <v>1214</v>
      </c>
      <c r="K1465" s="201">
        <f t="shared" si="1625"/>
        <v>1214</v>
      </c>
      <c r="L1465" s="276">
        <v>113</v>
      </c>
      <c r="M1465" s="249">
        <v>0.26041666666666669</v>
      </c>
      <c r="N1465" s="153">
        <v>226207</v>
      </c>
      <c r="O1465" s="153">
        <v>112859</v>
      </c>
      <c r="P1465" s="153">
        <v>11047</v>
      </c>
      <c r="Q1465" s="153"/>
      <c r="R1465" s="153">
        <v>46924</v>
      </c>
      <c r="S1465" s="154">
        <v>1264.4000000000001</v>
      </c>
      <c r="T1465" s="154"/>
      <c r="U1465" s="154"/>
      <c r="V1465" s="153">
        <v>326169</v>
      </c>
      <c r="W1465" s="153">
        <v>130951</v>
      </c>
      <c r="X1465" s="153">
        <v>116141</v>
      </c>
      <c r="Y1465" s="153">
        <v>92778</v>
      </c>
      <c r="Z1465" s="153">
        <v>222764</v>
      </c>
    </row>
    <row r="1466" spans="1:26" ht="18" hidden="1" customHeight="1" x14ac:dyDescent="0.2">
      <c r="A1466" s="279">
        <f t="shared" si="1634"/>
        <v>44317</v>
      </c>
      <c r="B1466" s="279" t="s">
        <v>195</v>
      </c>
      <c r="C1466" s="48">
        <f t="shared" si="1683"/>
        <v>0</v>
      </c>
      <c r="D1466" s="84">
        <f t="shared" si="1541"/>
        <v>0</v>
      </c>
      <c r="E1466" s="45">
        <f t="shared" si="1684"/>
        <v>0</v>
      </c>
      <c r="F1466" s="45">
        <f t="shared" si="1685"/>
        <v>0</v>
      </c>
      <c r="G1466" s="79">
        <f t="shared" si="1686"/>
        <v>0</v>
      </c>
      <c r="H1466" s="199">
        <v>0</v>
      </c>
      <c r="I1466" s="199">
        <v>664</v>
      </c>
      <c r="J1466" s="200">
        <f t="shared" si="1624"/>
        <v>664</v>
      </c>
      <c r="K1466" s="201">
        <f>J1466-G1466</f>
        <v>664</v>
      </c>
      <c r="L1466" s="276">
        <v>32</v>
      </c>
      <c r="M1466" s="276">
        <v>945</v>
      </c>
      <c r="N1466" s="153">
        <v>226207</v>
      </c>
      <c r="O1466" s="153">
        <v>112859</v>
      </c>
      <c r="P1466" s="153">
        <v>11047</v>
      </c>
      <c r="Q1466" s="153"/>
      <c r="R1466" s="153">
        <v>46924</v>
      </c>
      <c r="S1466" s="154">
        <v>1264.4000000000001</v>
      </c>
      <c r="T1466" s="154"/>
      <c r="U1466" s="154"/>
      <c r="V1466" s="153">
        <v>326169</v>
      </c>
      <c r="W1466" s="153">
        <v>130951</v>
      </c>
      <c r="X1466" s="153">
        <v>116141</v>
      </c>
      <c r="Y1466" s="153">
        <v>92778</v>
      </c>
      <c r="Z1466" s="153">
        <v>222764</v>
      </c>
    </row>
    <row r="1467" spans="1:26" ht="18" hidden="1" customHeight="1" x14ac:dyDescent="0.2">
      <c r="A1467" s="279">
        <f t="shared" si="1634"/>
        <v>44318</v>
      </c>
      <c r="B1467" s="278" t="s">
        <v>190</v>
      </c>
      <c r="C1467" s="48">
        <f t="shared" si="1683"/>
        <v>3415</v>
      </c>
      <c r="D1467" s="84">
        <f t="shared" si="1541"/>
        <v>1328</v>
      </c>
      <c r="E1467" s="45">
        <f t="shared" si="1684"/>
        <v>2463.9999999999964</v>
      </c>
      <c r="F1467" s="45">
        <f t="shared" si="1685"/>
        <v>260</v>
      </c>
      <c r="G1467" s="79">
        <f t="shared" si="1686"/>
        <v>7466.9999999999964</v>
      </c>
      <c r="H1467" s="199">
        <v>0</v>
      </c>
      <c r="I1467" s="199">
        <v>904</v>
      </c>
      <c r="J1467" s="200">
        <f t="shared" si="1624"/>
        <v>904</v>
      </c>
      <c r="K1467" s="201">
        <f t="shared" ref="K1467:K1495" si="1687">J1467-G1467</f>
        <v>-6562.9999999999964</v>
      </c>
      <c r="L1467" s="276">
        <v>71</v>
      </c>
      <c r="M1467" s="249">
        <v>0.96875</v>
      </c>
      <c r="N1467" s="153">
        <v>226207</v>
      </c>
      <c r="O1467" s="153">
        <v>112859</v>
      </c>
      <c r="P1467" s="153">
        <v>11047</v>
      </c>
      <c r="Q1467" s="153"/>
      <c r="R1467" s="153">
        <v>46924</v>
      </c>
      <c r="S1467" s="154">
        <v>1264.4000000000001</v>
      </c>
      <c r="T1467" s="154"/>
      <c r="U1467" s="154"/>
      <c r="V1467" s="153">
        <v>326169</v>
      </c>
      <c r="W1467" s="153">
        <v>130951</v>
      </c>
      <c r="X1467" s="153">
        <v>116141</v>
      </c>
      <c r="Y1467" s="153">
        <v>92778</v>
      </c>
      <c r="Z1467" s="153">
        <v>222764</v>
      </c>
    </row>
    <row r="1468" spans="1:26" ht="18" hidden="1" customHeight="1" x14ac:dyDescent="0.2">
      <c r="A1468" s="279">
        <f t="shared" si="1634"/>
        <v>44319</v>
      </c>
      <c r="B1468" s="280" t="s">
        <v>191</v>
      </c>
      <c r="C1468" s="48">
        <f t="shared" ref="C1468" si="1688">(V1469-V1468)*1+(W1469-W1468)*32+(X1469-X1468)*12+(Y1469-Y1468)*6</f>
        <v>2452</v>
      </c>
      <c r="D1468" s="84">
        <f t="shared" si="1541"/>
        <v>1290</v>
      </c>
      <c r="E1468" s="45">
        <f t="shared" ref="E1468" si="1689">(S1469-S1468)*80</f>
        <v>2120</v>
      </c>
      <c r="F1468" s="45">
        <f t="shared" ref="F1468" si="1690">(Z1469-Z1468)*1</f>
        <v>54</v>
      </c>
      <c r="G1468" s="79">
        <f t="shared" ref="G1468" si="1691">C1468+D1468+F1468+E1468</f>
        <v>5916</v>
      </c>
      <c r="H1468" s="199">
        <v>5046</v>
      </c>
      <c r="I1468" s="199">
        <v>687</v>
      </c>
      <c r="J1468" s="200">
        <f t="shared" si="1624"/>
        <v>5733</v>
      </c>
      <c r="K1468" s="201">
        <f t="shared" si="1687"/>
        <v>-183</v>
      </c>
      <c r="L1468" s="276">
        <v>476</v>
      </c>
      <c r="M1468" s="249">
        <v>0.48958333333333331</v>
      </c>
      <c r="N1468" s="235">
        <v>226367</v>
      </c>
      <c r="O1468" s="235">
        <v>112916</v>
      </c>
      <c r="P1468" s="235">
        <v>11047</v>
      </c>
      <c r="Q1468" s="235"/>
      <c r="R1468" s="235">
        <v>46972</v>
      </c>
      <c r="S1468" s="236">
        <v>1295.2</v>
      </c>
      <c r="T1468" s="236"/>
      <c r="U1468" s="236"/>
      <c r="V1468" s="235">
        <v>326728</v>
      </c>
      <c r="W1468" s="235">
        <v>131014</v>
      </c>
      <c r="X1468" s="235">
        <v>116211</v>
      </c>
      <c r="Y1468" s="235">
        <v>92778</v>
      </c>
      <c r="Z1468" s="235">
        <v>223024</v>
      </c>
    </row>
    <row r="1469" spans="1:26" ht="18" hidden="1" customHeight="1" x14ac:dyDescent="0.2">
      <c r="A1469" s="279">
        <f t="shared" si="1634"/>
        <v>44320</v>
      </c>
      <c r="B1469" s="280" t="s">
        <v>192</v>
      </c>
      <c r="C1469" s="48">
        <f t="shared" ref="C1469" si="1692">(V1470-V1469)*1+(W1470-W1469)*32+(X1470-X1469)*12+(Y1470-Y1469)*6</f>
        <v>2351</v>
      </c>
      <c r="D1469" s="84">
        <f t="shared" ref="D1469:D1532" si="1693">(N1470-N1469)*8+(P1470-P1469)*8+(R1470-R1469)*1</f>
        <v>1451</v>
      </c>
      <c r="E1469" s="45">
        <f t="shared" ref="E1469" si="1694">(S1470-S1469)*80</f>
        <v>1927.9999999999927</v>
      </c>
      <c r="F1469" s="45">
        <f t="shared" ref="F1469" si="1695">(Z1470-Z1469)*1</f>
        <v>60</v>
      </c>
      <c r="G1469" s="79">
        <f t="shared" ref="G1469" si="1696">C1469+D1469+F1469+E1469</f>
        <v>5789.9999999999927</v>
      </c>
      <c r="H1469" s="199">
        <v>4954</v>
      </c>
      <c r="I1469" s="199">
        <v>1013</v>
      </c>
      <c r="J1469" s="200">
        <f t="shared" si="1624"/>
        <v>5967</v>
      </c>
      <c r="K1469" s="201">
        <f t="shared" si="1687"/>
        <v>177.00000000000728</v>
      </c>
      <c r="L1469" s="276">
        <v>491</v>
      </c>
      <c r="M1469" s="249">
        <v>0.60416666666666663</v>
      </c>
      <c r="N1469" s="235">
        <v>226527</v>
      </c>
      <c r="O1469" s="235">
        <v>112981</v>
      </c>
      <c r="P1469" s="235">
        <v>11047</v>
      </c>
      <c r="Q1469" s="235"/>
      <c r="R1469" s="235">
        <v>46982</v>
      </c>
      <c r="S1469" s="236">
        <v>1321.7</v>
      </c>
      <c r="T1469" s="236"/>
      <c r="U1469" s="236"/>
      <c r="V1469" s="235">
        <v>326924</v>
      </c>
      <c r="W1469" s="235">
        <v>131056</v>
      </c>
      <c r="X1469" s="235">
        <v>116287</v>
      </c>
      <c r="Y1469" s="235">
        <v>92778</v>
      </c>
      <c r="Z1469" s="235">
        <v>223078</v>
      </c>
    </row>
    <row r="1470" spans="1:26" ht="18" hidden="1" customHeight="1" x14ac:dyDescent="0.2">
      <c r="A1470" s="279">
        <f t="shared" si="1634"/>
        <v>44321</v>
      </c>
      <c r="B1470" s="280" t="s">
        <v>193</v>
      </c>
      <c r="C1470" s="48">
        <f t="shared" ref="C1470" si="1697">(V1471-V1470)*1+(W1471-W1470)*32+(X1471-X1470)*12+(Y1471-Y1470)*6</f>
        <v>2373</v>
      </c>
      <c r="D1470" s="84">
        <f t="shared" si="1693"/>
        <v>1372</v>
      </c>
      <c r="E1470" s="45">
        <f t="shared" ref="E1470" si="1698">(S1471-S1470)*80</f>
        <v>2056.0000000000036</v>
      </c>
      <c r="F1470" s="45">
        <f t="shared" ref="F1470" si="1699">(Z1471-Z1470)*1</f>
        <v>66</v>
      </c>
      <c r="G1470" s="79">
        <f t="shared" ref="G1470" si="1700">C1470+D1470+F1470+E1470</f>
        <v>5867.0000000000036</v>
      </c>
      <c r="H1470" s="199">
        <v>5035</v>
      </c>
      <c r="I1470" s="199">
        <v>1058</v>
      </c>
      <c r="J1470" s="200">
        <f t="shared" si="1624"/>
        <v>6093</v>
      </c>
      <c r="K1470" s="201">
        <f t="shared" si="1687"/>
        <v>225.99999999999636</v>
      </c>
      <c r="L1470" s="276">
        <v>470</v>
      </c>
      <c r="M1470" s="249">
        <v>0.40625</v>
      </c>
      <c r="N1470" s="235">
        <v>226707</v>
      </c>
      <c r="O1470" s="235">
        <v>113046</v>
      </c>
      <c r="P1470" s="235">
        <v>11047</v>
      </c>
      <c r="Q1470" s="235"/>
      <c r="R1470" s="235">
        <v>46993</v>
      </c>
      <c r="S1470" s="236">
        <v>1345.8</v>
      </c>
      <c r="T1470" s="236"/>
      <c r="U1470" s="236"/>
      <c r="V1470" s="235">
        <v>327127</v>
      </c>
      <c r="W1470" s="235">
        <v>131098</v>
      </c>
      <c r="X1470" s="235">
        <v>116354</v>
      </c>
      <c r="Y1470" s="235">
        <v>92778</v>
      </c>
      <c r="Z1470" s="235">
        <v>223138</v>
      </c>
    </row>
    <row r="1471" spans="1:26" ht="18" hidden="1" customHeight="1" x14ac:dyDescent="0.2">
      <c r="A1471" s="279">
        <f t="shared" si="1634"/>
        <v>44322</v>
      </c>
      <c r="B1471" s="280" t="s">
        <v>194</v>
      </c>
      <c r="C1471" s="48">
        <f t="shared" ref="C1471" si="1701">(V1472-V1471)*1+(W1472-W1471)*32+(X1472-X1471)*12+(Y1472-Y1471)*6</f>
        <v>2437</v>
      </c>
      <c r="D1471" s="84">
        <f t="shared" si="1693"/>
        <v>1368</v>
      </c>
      <c r="E1471" s="45">
        <f t="shared" ref="E1471" si="1702">(S1472-S1471)*80</f>
        <v>2040</v>
      </c>
      <c r="F1471" s="45">
        <f t="shared" ref="F1471" si="1703">(Z1472-Z1471)*1</f>
        <v>55</v>
      </c>
      <c r="G1471" s="79">
        <f t="shared" ref="G1471" si="1704">C1471+D1471+F1471+E1471</f>
        <v>5900</v>
      </c>
      <c r="H1471" s="199">
        <v>5159</v>
      </c>
      <c r="I1471" s="199">
        <v>1054</v>
      </c>
      <c r="J1471" s="200">
        <f t="shared" si="1624"/>
        <v>6213</v>
      </c>
      <c r="K1471" s="201">
        <f t="shared" si="1687"/>
        <v>313</v>
      </c>
      <c r="L1471" s="276">
        <v>493</v>
      </c>
      <c r="M1471" s="249">
        <v>0.64583333333333337</v>
      </c>
      <c r="N1471" s="235">
        <v>226877</v>
      </c>
      <c r="O1471" s="235">
        <v>113114</v>
      </c>
      <c r="P1471" s="235">
        <v>11047</v>
      </c>
      <c r="Q1471" s="235"/>
      <c r="R1471" s="235">
        <v>47005</v>
      </c>
      <c r="S1471" s="236">
        <v>1371.5</v>
      </c>
      <c r="T1471" s="236"/>
      <c r="U1471" s="236"/>
      <c r="V1471" s="235">
        <v>327304</v>
      </c>
      <c r="W1471" s="235">
        <v>131137</v>
      </c>
      <c r="X1471" s="235">
        <v>116433</v>
      </c>
      <c r="Y1471" s="235">
        <v>92778</v>
      </c>
      <c r="Z1471" s="235">
        <v>223204</v>
      </c>
    </row>
    <row r="1472" spans="1:26" ht="18" hidden="1" customHeight="1" x14ac:dyDescent="0.2">
      <c r="A1472" s="279">
        <f t="shared" si="1634"/>
        <v>44323</v>
      </c>
      <c r="B1472" s="278" t="s">
        <v>189</v>
      </c>
      <c r="C1472" s="48">
        <f t="shared" ref="C1472:C1474" si="1705">(V1473-V1472)*1+(W1473-W1472)*32+(X1473-X1472)*12+(Y1473-Y1472)*6</f>
        <v>0</v>
      </c>
      <c r="D1472" s="84">
        <f t="shared" si="1693"/>
        <v>0</v>
      </c>
      <c r="E1472" s="45">
        <f t="shared" ref="E1472:E1474" si="1706">(S1473-S1472)*80</f>
        <v>0</v>
      </c>
      <c r="F1472" s="45">
        <f t="shared" ref="F1472:F1474" si="1707">(Z1473-Z1472)*1</f>
        <v>0</v>
      </c>
      <c r="G1472" s="79">
        <f t="shared" ref="G1472:G1474" si="1708">C1472+D1472+F1472+E1472</f>
        <v>0</v>
      </c>
      <c r="H1472" s="199">
        <v>4790</v>
      </c>
      <c r="I1472" s="199">
        <v>1012</v>
      </c>
      <c r="J1472" s="200">
        <f t="shared" si="1624"/>
        <v>5802</v>
      </c>
      <c r="K1472" s="201">
        <f t="shared" si="1687"/>
        <v>5802</v>
      </c>
      <c r="L1472" s="276">
        <v>470</v>
      </c>
      <c r="M1472" s="249">
        <v>0.42708333333333331</v>
      </c>
      <c r="N1472" s="235">
        <v>227047</v>
      </c>
      <c r="O1472" s="235">
        <v>113178</v>
      </c>
      <c r="P1472" s="235">
        <v>11047</v>
      </c>
      <c r="Q1472" s="235"/>
      <c r="R1472" s="235">
        <v>47013</v>
      </c>
      <c r="S1472" s="236">
        <v>1397</v>
      </c>
      <c r="T1472" s="236"/>
      <c r="U1472" s="236"/>
      <c r="V1472" s="235">
        <v>327497</v>
      </c>
      <c r="W1472" s="235">
        <v>131179</v>
      </c>
      <c r="X1472" s="235">
        <v>116508</v>
      </c>
      <c r="Y1472" s="235">
        <v>92778</v>
      </c>
      <c r="Z1472" s="235">
        <v>223259</v>
      </c>
    </row>
    <row r="1473" spans="1:26" ht="18" hidden="1" customHeight="1" x14ac:dyDescent="0.2">
      <c r="A1473" s="279">
        <f t="shared" si="1634"/>
        <v>44324</v>
      </c>
      <c r="B1473" s="279" t="s">
        <v>195</v>
      </c>
      <c r="C1473" s="48">
        <f t="shared" si="1705"/>
        <v>0</v>
      </c>
      <c r="D1473" s="84">
        <f t="shared" si="1693"/>
        <v>0</v>
      </c>
      <c r="E1473" s="45">
        <f t="shared" si="1706"/>
        <v>0</v>
      </c>
      <c r="F1473" s="45">
        <f t="shared" si="1707"/>
        <v>0</v>
      </c>
      <c r="G1473" s="79">
        <f t="shared" si="1708"/>
        <v>0</v>
      </c>
      <c r="H1473" s="199">
        <v>0</v>
      </c>
      <c r="I1473" s="199">
        <f>761+1042</f>
        <v>1803</v>
      </c>
      <c r="J1473" s="200">
        <f t="shared" si="1624"/>
        <v>1803</v>
      </c>
      <c r="K1473" s="201">
        <f t="shared" si="1687"/>
        <v>1803</v>
      </c>
      <c r="L1473" s="276">
        <v>93</v>
      </c>
      <c r="M1473" s="249">
        <v>0.17708333333333334</v>
      </c>
      <c r="N1473" s="153">
        <v>227047</v>
      </c>
      <c r="O1473" s="153">
        <v>113178</v>
      </c>
      <c r="P1473" s="153">
        <v>11047</v>
      </c>
      <c r="Q1473" s="153"/>
      <c r="R1473" s="153">
        <v>47013</v>
      </c>
      <c r="S1473" s="154">
        <v>1397</v>
      </c>
      <c r="T1473" s="154"/>
      <c r="U1473" s="154"/>
      <c r="V1473" s="153">
        <v>327497</v>
      </c>
      <c r="W1473" s="153">
        <v>131179</v>
      </c>
      <c r="X1473" s="153">
        <v>116508</v>
      </c>
      <c r="Y1473" s="153">
        <v>92778</v>
      </c>
      <c r="Z1473" s="153">
        <v>223259</v>
      </c>
    </row>
    <row r="1474" spans="1:26" ht="18" hidden="1" customHeight="1" x14ac:dyDescent="0.2">
      <c r="A1474" s="279">
        <f t="shared" si="1634"/>
        <v>44325</v>
      </c>
      <c r="B1474" s="278" t="s">
        <v>190</v>
      </c>
      <c r="C1474" s="48">
        <f t="shared" si="1705"/>
        <v>3230</v>
      </c>
      <c r="D1474" s="84">
        <f t="shared" si="1693"/>
        <v>3149</v>
      </c>
      <c r="E1474" s="45">
        <f t="shared" si="1706"/>
        <v>2176.0000000000036</v>
      </c>
      <c r="F1474" s="45">
        <f t="shared" si="1707"/>
        <v>186</v>
      </c>
      <c r="G1474" s="79">
        <f t="shared" si="1708"/>
        <v>8741.0000000000036</v>
      </c>
      <c r="H1474" s="199">
        <v>0</v>
      </c>
      <c r="I1474" s="199">
        <v>1841</v>
      </c>
      <c r="J1474" s="200">
        <f t="shared" si="1624"/>
        <v>1841</v>
      </c>
      <c r="K1474" s="201">
        <f t="shared" si="1687"/>
        <v>-6900.0000000000036</v>
      </c>
      <c r="L1474" s="276">
        <v>111</v>
      </c>
      <c r="M1474" s="249">
        <v>0.86458333333333337</v>
      </c>
      <c r="N1474" s="153">
        <v>227047</v>
      </c>
      <c r="O1474" s="153">
        <v>113178</v>
      </c>
      <c r="P1474" s="153">
        <v>11047</v>
      </c>
      <c r="Q1474" s="153"/>
      <c r="R1474" s="153">
        <v>47013</v>
      </c>
      <c r="S1474" s="154">
        <v>1397</v>
      </c>
      <c r="T1474" s="154"/>
      <c r="U1474" s="154"/>
      <c r="V1474" s="153">
        <v>327497</v>
      </c>
      <c r="W1474" s="153">
        <v>131179</v>
      </c>
      <c r="X1474" s="153">
        <v>116508</v>
      </c>
      <c r="Y1474" s="153">
        <v>92778</v>
      </c>
      <c r="Z1474" s="153">
        <v>223259</v>
      </c>
    </row>
    <row r="1475" spans="1:26" ht="18" hidden="1" customHeight="1" x14ac:dyDescent="0.2">
      <c r="A1475" s="279">
        <f t="shared" si="1634"/>
        <v>44326</v>
      </c>
      <c r="B1475" s="280" t="s">
        <v>191</v>
      </c>
      <c r="C1475" s="48">
        <f t="shared" ref="C1475" si="1709">(V1476-V1475)*1+(W1476-W1475)*32+(X1476-X1475)*12+(Y1476-Y1475)*6</f>
        <v>2742</v>
      </c>
      <c r="D1475" s="84">
        <f t="shared" si="1693"/>
        <v>1374</v>
      </c>
      <c r="E1475" s="45">
        <f t="shared" ref="E1475" si="1710">(S1476-S1475)*80</f>
        <v>1920</v>
      </c>
      <c r="F1475" s="45">
        <f t="shared" ref="F1475" si="1711">(Z1476-Z1475)*1</f>
        <v>82</v>
      </c>
      <c r="G1475" s="79">
        <f t="shared" ref="G1475" si="1712">C1475+D1475+F1475+E1475</f>
        <v>6118</v>
      </c>
      <c r="H1475" s="199">
        <v>5170</v>
      </c>
      <c r="I1475" s="199">
        <v>957</v>
      </c>
      <c r="J1475" s="200">
        <f t="shared" si="1624"/>
        <v>6127</v>
      </c>
      <c r="K1475" s="201">
        <f t="shared" si="1687"/>
        <v>9</v>
      </c>
      <c r="L1475" s="276">
        <v>480</v>
      </c>
      <c r="M1475" s="249">
        <v>0.57291666666666663</v>
      </c>
      <c r="N1475" s="235">
        <v>227437</v>
      </c>
      <c r="O1475" s="235">
        <v>113325</v>
      </c>
      <c r="P1475" s="235">
        <v>11047</v>
      </c>
      <c r="Q1475" s="235"/>
      <c r="R1475" s="235">
        <v>47042</v>
      </c>
      <c r="S1475" s="236">
        <v>1424.2</v>
      </c>
      <c r="T1475" s="236"/>
      <c r="U1475" s="236"/>
      <c r="V1475" s="235">
        <v>328011</v>
      </c>
      <c r="W1475" s="235">
        <v>131241</v>
      </c>
      <c r="X1475" s="235">
        <v>116569</v>
      </c>
      <c r="Y1475" s="235">
        <v>92778</v>
      </c>
      <c r="Z1475" s="235">
        <v>223445</v>
      </c>
    </row>
    <row r="1476" spans="1:26" ht="18" hidden="1" customHeight="1" x14ac:dyDescent="0.2">
      <c r="A1476" s="279">
        <f t="shared" si="1634"/>
        <v>44327</v>
      </c>
      <c r="B1476" s="280" t="s">
        <v>192</v>
      </c>
      <c r="C1476" s="48">
        <f t="shared" ref="C1476" si="1713">(V1477-V1476)*1+(W1477-W1476)*32+(X1477-X1476)*12+(Y1477-Y1476)*6</f>
        <v>2556</v>
      </c>
      <c r="D1476" s="84">
        <f t="shared" si="1693"/>
        <v>1210</v>
      </c>
      <c r="E1476" s="45">
        <f t="shared" ref="E1476" si="1714">(S1477-S1476)*80</f>
        <v>1783.9999999999964</v>
      </c>
      <c r="F1476" s="45">
        <f t="shared" ref="F1476" si="1715">(Z1477-Z1476)*1</f>
        <v>70</v>
      </c>
      <c r="G1476" s="79">
        <f t="shared" ref="G1476" si="1716">C1476+D1476+F1476+E1476</f>
        <v>5619.9999999999964</v>
      </c>
      <c r="H1476" s="199">
        <v>4990</v>
      </c>
      <c r="I1476" s="199">
        <v>970</v>
      </c>
      <c r="J1476" s="200">
        <f t="shared" si="1624"/>
        <v>5960</v>
      </c>
      <c r="K1476" s="201">
        <f t="shared" si="1687"/>
        <v>340.00000000000364</v>
      </c>
      <c r="L1476" s="276">
        <v>464</v>
      </c>
      <c r="M1476" s="249">
        <v>0.51041666666666663</v>
      </c>
      <c r="N1476" s="235">
        <v>227607</v>
      </c>
      <c r="O1476" s="235">
        <v>113388</v>
      </c>
      <c r="P1476" s="235">
        <v>11047</v>
      </c>
      <c r="Q1476" s="235"/>
      <c r="R1476" s="235">
        <v>47056</v>
      </c>
      <c r="S1476" s="236">
        <v>1448.2</v>
      </c>
      <c r="T1476" s="236"/>
      <c r="U1476" s="236"/>
      <c r="V1476" s="235">
        <v>328241</v>
      </c>
      <c r="W1476" s="235">
        <v>131291</v>
      </c>
      <c r="X1476" s="235">
        <v>116645</v>
      </c>
      <c r="Y1476" s="235">
        <v>92778</v>
      </c>
      <c r="Z1476" s="235">
        <v>223527</v>
      </c>
    </row>
    <row r="1477" spans="1:26" ht="18" hidden="1" customHeight="1" x14ac:dyDescent="0.2">
      <c r="A1477" s="279">
        <f t="shared" si="1634"/>
        <v>44328</v>
      </c>
      <c r="B1477" s="280" t="s">
        <v>193</v>
      </c>
      <c r="C1477" s="48">
        <f t="shared" ref="C1477" si="1717">(V1478-V1477)*1+(W1478-W1477)*32+(X1478-X1477)*12+(Y1478-Y1477)*6</f>
        <v>2585</v>
      </c>
      <c r="D1477" s="84">
        <f t="shared" si="1693"/>
        <v>1211</v>
      </c>
      <c r="E1477" s="45">
        <f t="shared" ref="E1477" si="1718">(S1478-S1477)*80</f>
        <v>1912.0000000000073</v>
      </c>
      <c r="F1477" s="45">
        <f t="shared" ref="F1477" si="1719">(Z1478-Z1477)*1</f>
        <v>81</v>
      </c>
      <c r="G1477" s="79">
        <f t="shared" ref="G1477" si="1720">C1477+D1477+F1477+E1477</f>
        <v>5789.0000000000073</v>
      </c>
      <c r="H1477" s="199">
        <v>4874</v>
      </c>
      <c r="I1477" s="199">
        <v>973</v>
      </c>
      <c r="J1477" s="200">
        <f t="shared" si="1624"/>
        <v>5847</v>
      </c>
      <c r="K1477" s="201">
        <f t="shared" si="1687"/>
        <v>57.999999999992724</v>
      </c>
      <c r="L1477" s="276">
        <v>462</v>
      </c>
      <c r="M1477" s="249">
        <v>0.58333333333333337</v>
      </c>
      <c r="N1477" s="235">
        <v>227757</v>
      </c>
      <c r="O1477" s="235">
        <v>113442</v>
      </c>
      <c r="P1477" s="235">
        <v>11047</v>
      </c>
      <c r="Q1477" s="235"/>
      <c r="R1477" s="235">
        <v>47066</v>
      </c>
      <c r="S1477" s="236">
        <v>1470.5</v>
      </c>
      <c r="T1477" s="236"/>
      <c r="U1477" s="236"/>
      <c r="V1477" s="235">
        <v>328449</v>
      </c>
      <c r="W1477" s="235">
        <v>131337</v>
      </c>
      <c r="X1477" s="235">
        <v>116718</v>
      </c>
      <c r="Y1477" s="235">
        <v>92778</v>
      </c>
      <c r="Z1477" s="235">
        <v>223597</v>
      </c>
    </row>
    <row r="1478" spans="1:26" ht="18" hidden="1" customHeight="1" x14ac:dyDescent="0.2">
      <c r="A1478" s="279">
        <f t="shared" si="1634"/>
        <v>44329</v>
      </c>
      <c r="B1478" s="280" t="s">
        <v>194</v>
      </c>
      <c r="C1478" s="48">
        <f t="shared" ref="C1478" si="1721">(V1479-V1478)*1+(W1479-W1478)*32+(X1479-X1478)*12+(Y1479-Y1478)*6</f>
        <v>2505</v>
      </c>
      <c r="D1478" s="84">
        <f t="shared" si="1693"/>
        <v>1130</v>
      </c>
      <c r="E1478" s="45">
        <f t="shared" ref="E1478" si="1722">(S1479-S1478)*80</f>
        <v>1783.9999999999964</v>
      </c>
      <c r="F1478" s="45">
        <f t="shared" ref="F1478" si="1723">(Z1479-Z1478)*1</f>
        <v>77</v>
      </c>
      <c r="G1478" s="79">
        <f t="shared" ref="G1478" si="1724">C1478+D1478+F1478+E1478</f>
        <v>5495.9999999999964</v>
      </c>
      <c r="H1478" s="199">
        <v>4896</v>
      </c>
      <c r="I1478" s="199">
        <v>996</v>
      </c>
      <c r="J1478" s="200">
        <f t="shared" si="1624"/>
        <v>5892</v>
      </c>
      <c r="K1478" s="201">
        <f t="shared" si="1687"/>
        <v>396.00000000000364</v>
      </c>
      <c r="L1478" s="276">
        <v>480</v>
      </c>
      <c r="M1478" s="249">
        <v>0.4375</v>
      </c>
      <c r="N1478" s="235">
        <v>227907</v>
      </c>
      <c r="O1478" s="235">
        <v>113504</v>
      </c>
      <c r="P1478" s="235">
        <v>11047</v>
      </c>
      <c r="Q1478" s="235"/>
      <c r="R1478" s="235">
        <v>47077</v>
      </c>
      <c r="S1478" s="236">
        <v>1494.4</v>
      </c>
      <c r="T1478" s="236"/>
      <c r="U1478" s="236"/>
      <c r="V1478" s="235">
        <v>328702</v>
      </c>
      <c r="W1478" s="235">
        <v>131384</v>
      </c>
      <c r="X1478" s="235">
        <v>116787</v>
      </c>
      <c r="Y1478" s="235">
        <v>92778</v>
      </c>
      <c r="Z1478" s="235">
        <v>223678</v>
      </c>
    </row>
    <row r="1479" spans="1:26" ht="18" hidden="1" customHeight="1" x14ac:dyDescent="0.2">
      <c r="A1479" s="279">
        <f t="shared" si="1634"/>
        <v>44330</v>
      </c>
      <c r="B1479" s="278" t="s">
        <v>189</v>
      </c>
      <c r="C1479" s="48">
        <f t="shared" ref="C1479:C1481" si="1725">(V1480-V1479)*1+(W1480-W1479)*32+(X1480-X1479)*12+(Y1480-Y1479)*6</f>
        <v>0</v>
      </c>
      <c r="D1479" s="84">
        <f t="shared" si="1693"/>
        <v>0</v>
      </c>
      <c r="E1479" s="45">
        <f t="shared" ref="E1479:E1481" si="1726">(S1480-S1479)*80</f>
        <v>0</v>
      </c>
      <c r="F1479" s="45">
        <f t="shared" ref="F1479:F1481" si="1727">(Z1480-Z1479)*1</f>
        <v>0</v>
      </c>
      <c r="G1479" s="79">
        <f t="shared" ref="G1479:G1481" si="1728">C1479+D1479+F1479+E1479</f>
        <v>0</v>
      </c>
      <c r="H1479" s="199">
        <v>4448</v>
      </c>
      <c r="I1479" s="199">
        <v>890</v>
      </c>
      <c r="J1479" s="200">
        <f t="shared" si="1624"/>
        <v>5338</v>
      </c>
      <c r="K1479" s="201">
        <f t="shared" si="1687"/>
        <v>5338</v>
      </c>
      <c r="L1479" s="276">
        <v>432</v>
      </c>
      <c r="M1479" s="249">
        <v>0.77083333333333337</v>
      </c>
      <c r="N1479" s="235">
        <v>228047</v>
      </c>
      <c r="O1479" s="235">
        <v>113558</v>
      </c>
      <c r="P1479" s="235">
        <v>11047</v>
      </c>
      <c r="Q1479" s="235"/>
      <c r="R1479" s="235">
        <v>47087</v>
      </c>
      <c r="S1479" s="236">
        <v>1516.7</v>
      </c>
      <c r="T1479" s="236"/>
      <c r="U1479" s="236"/>
      <c r="V1479" s="235">
        <v>328935</v>
      </c>
      <c r="W1479" s="235">
        <v>131431</v>
      </c>
      <c r="X1479" s="235">
        <v>116851</v>
      </c>
      <c r="Y1479" s="235">
        <v>92778</v>
      </c>
      <c r="Z1479" s="235">
        <v>223755</v>
      </c>
    </row>
    <row r="1480" spans="1:26" ht="18" hidden="1" customHeight="1" x14ac:dyDescent="0.2">
      <c r="A1480" s="279">
        <f t="shared" si="1634"/>
        <v>44331</v>
      </c>
      <c r="B1480" s="279" t="s">
        <v>195</v>
      </c>
      <c r="C1480" s="48">
        <f t="shared" si="1725"/>
        <v>0</v>
      </c>
      <c r="D1480" s="84">
        <f t="shared" si="1693"/>
        <v>0</v>
      </c>
      <c r="E1480" s="45">
        <f t="shared" si="1726"/>
        <v>0</v>
      </c>
      <c r="F1480" s="45">
        <f t="shared" si="1727"/>
        <v>0</v>
      </c>
      <c r="G1480" s="79">
        <f t="shared" si="1728"/>
        <v>0</v>
      </c>
      <c r="H1480" s="199">
        <v>0</v>
      </c>
      <c r="I1480" s="199">
        <f>3242+771</f>
        <v>4013</v>
      </c>
      <c r="J1480" s="200">
        <f t="shared" si="1624"/>
        <v>4013</v>
      </c>
      <c r="K1480" s="201">
        <f t="shared" si="1687"/>
        <v>4013</v>
      </c>
      <c r="L1480" s="276">
        <v>285</v>
      </c>
      <c r="M1480" s="249">
        <v>0.38541666666666669</v>
      </c>
      <c r="N1480" s="153">
        <v>228047</v>
      </c>
      <c r="O1480" s="153">
        <v>113558</v>
      </c>
      <c r="P1480" s="153">
        <v>11047</v>
      </c>
      <c r="Q1480" s="153"/>
      <c r="R1480" s="153">
        <v>47087</v>
      </c>
      <c r="S1480" s="154">
        <v>1516.7</v>
      </c>
      <c r="T1480" s="154"/>
      <c r="U1480" s="154"/>
      <c r="V1480" s="153">
        <v>328935</v>
      </c>
      <c r="W1480" s="153">
        <v>131431</v>
      </c>
      <c r="X1480" s="153">
        <v>116851</v>
      </c>
      <c r="Y1480" s="153">
        <v>92778</v>
      </c>
      <c r="Z1480" s="153">
        <v>223755</v>
      </c>
    </row>
    <row r="1481" spans="1:26" ht="18" hidden="1" customHeight="1" x14ac:dyDescent="0.2">
      <c r="A1481" s="279">
        <f t="shared" si="1634"/>
        <v>44332</v>
      </c>
      <c r="B1481" s="278" t="s">
        <v>190</v>
      </c>
      <c r="C1481" s="48">
        <f t="shared" si="1725"/>
        <v>5772</v>
      </c>
      <c r="D1481" s="84">
        <f t="shared" si="1693"/>
        <v>2110</v>
      </c>
      <c r="E1481" s="45">
        <f t="shared" si="1726"/>
        <v>1640</v>
      </c>
      <c r="F1481" s="45">
        <f t="shared" si="1727"/>
        <v>299</v>
      </c>
      <c r="G1481" s="79">
        <f t="shared" si="1728"/>
        <v>9821</v>
      </c>
      <c r="H1481" s="199">
        <v>0</v>
      </c>
      <c r="I1481" s="199">
        <v>1290</v>
      </c>
      <c r="J1481" s="200">
        <f t="shared" si="1624"/>
        <v>1290</v>
      </c>
      <c r="K1481" s="201">
        <f t="shared" si="1687"/>
        <v>-8531</v>
      </c>
      <c r="L1481" s="276">
        <v>82</v>
      </c>
      <c r="M1481" s="249">
        <v>0.70833333333333337</v>
      </c>
      <c r="N1481" s="153">
        <v>228047</v>
      </c>
      <c r="O1481" s="153">
        <v>113558</v>
      </c>
      <c r="P1481" s="153">
        <v>11047</v>
      </c>
      <c r="Q1481" s="153"/>
      <c r="R1481" s="153">
        <v>47087</v>
      </c>
      <c r="S1481" s="154">
        <v>1516.7</v>
      </c>
      <c r="T1481" s="154"/>
      <c r="U1481" s="154"/>
      <c r="V1481" s="153">
        <v>328935</v>
      </c>
      <c r="W1481" s="153">
        <v>131431</v>
      </c>
      <c r="X1481" s="153">
        <v>116851</v>
      </c>
      <c r="Y1481" s="153">
        <v>92778</v>
      </c>
      <c r="Z1481" s="153">
        <v>223755</v>
      </c>
    </row>
    <row r="1482" spans="1:26" ht="18" hidden="1" customHeight="1" x14ac:dyDescent="0.2">
      <c r="A1482" s="279">
        <f t="shared" si="1634"/>
        <v>44333</v>
      </c>
      <c r="B1482" s="280" t="s">
        <v>191</v>
      </c>
      <c r="C1482" s="48">
        <f t="shared" ref="C1482" si="1729">(V1483-V1482)*1+(W1483-W1482)*32+(X1483-X1482)*12+(Y1483-Y1482)*6</f>
        <v>2853</v>
      </c>
      <c r="D1482" s="84">
        <f t="shared" si="1693"/>
        <v>1211</v>
      </c>
      <c r="E1482" s="45">
        <f t="shared" ref="E1482" si="1730">(S1483-S1482)*80</f>
        <v>2007.9999999999927</v>
      </c>
      <c r="F1482" s="45">
        <f t="shared" ref="F1482" si="1731">(Z1483-Z1482)*1</f>
        <v>101</v>
      </c>
      <c r="G1482" s="79">
        <f t="shared" ref="G1482" si="1732">C1482+D1482+F1482+E1482</f>
        <v>6172.9999999999927</v>
      </c>
      <c r="H1482" s="199">
        <v>5409</v>
      </c>
      <c r="I1482" s="199">
        <v>599</v>
      </c>
      <c r="J1482" s="200">
        <f t="shared" si="1624"/>
        <v>6008</v>
      </c>
      <c r="K1482" s="201">
        <f t="shared" si="1687"/>
        <v>-164.99999999999272</v>
      </c>
      <c r="L1482" s="276">
        <v>499</v>
      </c>
      <c r="M1482" s="249">
        <v>0.41666666666666669</v>
      </c>
      <c r="N1482" s="235">
        <v>228307</v>
      </c>
      <c r="O1482" s="235">
        <v>113652</v>
      </c>
      <c r="P1482" s="235">
        <v>11047</v>
      </c>
      <c r="Q1482" s="235"/>
      <c r="R1482" s="235">
        <v>47117</v>
      </c>
      <c r="S1482" s="236">
        <v>1537.2</v>
      </c>
      <c r="T1482" s="236"/>
      <c r="U1482" s="236"/>
      <c r="V1482" s="235">
        <v>329567</v>
      </c>
      <c r="W1482" s="235">
        <v>131538</v>
      </c>
      <c r="X1482" s="235">
        <v>116994</v>
      </c>
      <c r="Y1482" s="235">
        <v>92778</v>
      </c>
      <c r="Z1482" s="235">
        <v>224054</v>
      </c>
    </row>
    <row r="1483" spans="1:26" ht="18" hidden="1" customHeight="1" x14ac:dyDescent="0.2">
      <c r="A1483" s="279">
        <f t="shared" si="1634"/>
        <v>44334</v>
      </c>
      <c r="B1483" s="280" t="s">
        <v>192</v>
      </c>
      <c r="C1483" s="48">
        <f t="shared" ref="C1483" si="1733">(V1484-V1483)*1+(W1484-W1483)*32+(X1484-X1483)*12+(Y1484-Y1483)*6</f>
        <v>3003</v>
      </c>
      <c r="D1483" s="84">
        <f t="shared" si="1693"/>
        <v>1212</v>
      </c>
      <c r="E1483" s="45">
        <f t="shared" ref="E1483" si="1734">(S1484-S1483)*80</f>
        <v>2343.9999999999964</v>
      </c>
      <c r="F1483" s="45">
        <f t="shared" ref="F1483" si="1735">(Z1484-Z1483)*1</f>
        <v>92</v>
      </c>
      <c r="G1483" s="79">
        <f t="shared" ref="G1483" si="1736">C1483+D1483+F1483+E1483</f>
        <v>6650.9999999999964</v>
      </c>
      <c r="H1483" s="199">
        <v>5746</v>
      </c>
      <c r="I1483" s="199">
        <v>922</v>
      </c>
      <c r="J1483" s="200">
        <f t="shared" si="1624"/>
        <v>6668</v>
      </c>
      <c r="K1483" s="201">
        <f t="shared" si="1687"/>
        <v>17.000000000003638</v>
      </c>
      <c r="L1483" s="276">
        <v>515</v>
      </c>
      <c r="M1483" s="249">
        <v>0.46875</v>
      </c>
      <c r="N1483" s="235">
        <v>228457</v>
      </c>
      <c r="O1483" s="235">
        <v>113713</v>
      </c>
      <c r="P1483" s="235">
        <v>11047</v>
      </c>
      <c r="Q1483" s="235"/>
      <c r="R1483" s="235">
        <v>47128</v>
      </c>
      <c r="S1483" s="236">
        <v>1562.3</v>
      </c>
      <c r="T1483" s="236"/>
      <c r="U1483" s="236"/>
      <c r="V1483" s="235">
        <v>329820</v>
      </c>
      <c r="W1483" s="235">
        <v>131590</v>
      </c>
      <c r="X1483" s="235">
        <v>117072</v>
      </c>
      <c r="Y1483" s="235">
        <v>92778</v>
      </c>
      <c r="Z1483" s="235">
        <v>224155</v>
      </c>
    </row>
    <row r="1484" spans="1:26" ht="18" hidden="1" customHeight="1" x14ac:dyDescent="0.2">
      <c r="A1484" s="279">
        <f t="shared" si="1634"/>
        <v>44335</v>
      </c>
      <c r="B1484" s="280" t="s">
        <v>193</v>
      </c>
      <c r="C1484" s="48">
        <f t="shared" ref="C1484" si="1737">(V1485-V1484)*1+(W1485-W1484)*32+(X1485-X1484)*12+(Y1485-Y1484)*6</f>
        <v>2441</v>
      </c>
      <c r="D1484" s="84">
        <f t="shared" si="1693"/>
        <v>1211</v>
      </c>
      <c r="E1484" s="45">
        <f t="shared" ref="E1484" si="1738">(S1485-S1484)*80</f>
        <v>1808.0000000000109</v>
      </c>
      <c r="F1484" s="45">
        <f t="shared" ref="F1484" si="1739">(Z1485-Z1484)*1</f>
        <v>88</v>
      </c>
      <c r="G1484" s="79">
        <f t="shared" ref="G1484" si="1740">C1484+D1484+F1484+E1484</f>
        <v>5548.0000000000109</v>
      </c>
      <c r="H1484" s="199">
        <v>5141</v>
      </c>
      <c r="I1484" s="199">
        <v>958</v>
      </c>
      <c r="J1484" s="200">
        <f t="shared" si="1624"/>
        <v>6099</v>
      </c>
      <c r="K1484" s="201">
        <f t="shared" si="1687"/>
        <v>550.99999999998909</v>
      </c>
      <c r="L1484" s="276">
        <v>498</v>
      </c>
      <c r="M1484" s="249">
        <v>0.38541666666666669</v>
      </c>
      <c r="N1484" s="235">
        <v>228607</v>
      </c>
      <c r="O1484" s="235">
        <v>113796</v>
      </c>
      <c r="P1484" s="235">
        <v>11047</v>
      </c>
      <c r="Q1484" s="235"/>
      <c r="R1484" s="235">
        <v>47140</v>
      </c>
      <c r="S1484" s="236">
        <v>1591.6</v>
      </c>
      <c r="T1484" s="236"/>
      <c r="U1484" s="236"/>
      <c r="V1484" s="235">
        <v>330063</v>
      </c>
      <c r="W1484" s="235">
        <v>131641</v>
      </c>
      <c r="X1484" s="235">
        <v>117156</v>
      </c>
      <c r="Y1484" s="235">
        <v>92798</v>
      </c>
      <c r="Z1484" s="235">
        <v>224247</v>
      </c>
    </row>
    <row r="1485" spans="1:26" ht="18" hidden="1" customHeight="1" x14ac:dyDescent="0.2">
      <c r="A1485" s="279">
        <f t="shared" si="1634"/>
        <v>44336</v>
      </c>
      <c r="B1485" s="280" t="s">
        <v>194</v>
      </c>
      <c r="C1485" s="48">
        <f t="shared" ref="C1485" si="1741">(V1486-V1485)*1+(W1486-W1485)*32+(X1486-X1485)*12+(Y1486-Y1485)*6</f>
        <v>2846</v>
      </c>
      <c r="D1485" s="84">
        <f t="shared" si="1693"/>
        <v>1214</v>
      </c>
      <c r="E1485" s="45">
        <f t="shared" ref="E1485" si="1742">(S1486-S1485)*80</f>
        <v>360</v>
      </c>
      <c r="F1485" s="45">
        <f t="shared" ref="F1485" si="1743">(Z1486-Z1485)*1</f>
        <v>96</v>
      </c>
      <c r="G1485" s="79">
        <f t="shared" ref="G1485" si="1744">C1485+D1485+F1485+E1485</f>
        <v>4516</v>
      </c>
      <c r="H1485" s="199">
        <v>3677</v>
      </c>
      <c r="I1485" s="199">
        <v>903</v>
      </c>
      <c r="J1485" s="200">
        <f t="shared" si="1624"/>
        <v>4580</v>
      </c>
      <c r="K1485" s="201">
        <f t="shared" si="1687"/>
        <v>64</v>
      </c>
      <c r="L1485" s="276">
        <v>309</v>
      </c>
      <c r="M1485" s="249">
        <v>0.8125</v>
      </c>
      <c r="N1485" s="235">
        <v>228757</v>
      </c>
      <c r="O1485" s="235">
        <v>113827</v>
      </c>
      <c r="P1485" s="235">
        <v>11047</v>
      </c>
      <c r="Q1485" s="235"/>
      <c r="R1485" s="235">
        <v>47151</v>
      </c>
      <c r="S1485" s="236">
        <v>1614.2</v>
      </c>
      <c r="T1485" s="236"/>
      <c r="U1485" s="236"/>
      <c r="V1485" s="235">
        <v>330316</v>
      </c>
      <c r="W1485" s="235">
        <v>131691</v>
      </c>
      <c r="X1485" s="235">
        <v>117215</v>
      </c>
      <c r="Y1485" s="235">
        <v>92778</v>
      </c>
      <c r="Z1485" s="235">
        <v>224335</v>
      </c>
    </row>
    <row r="1486" spans="1:26" ht="18" hidden="1" customHeight="1" x14ac:dyDescent="0.2">
      <c r="A1486" s="279">
        <f t="shared" si="1634"/>
        <v>44337</v>
      </c>
      <c r="B1486" s="278" t="s">
        <v>189</v>
      </c>
      <c r="C1486" s="48">
        <f t="shared" ref="C1486:C1488" si="1745">(V1487-V1486)*1+(W1487-W1486)*32+(X1487-X1486)*12+(Y1487-Y1486)*6</f>
        <v>0</v>
      </c>
      <c r="D1486" s="84">
        <f t="shared" si="1693"/>
        <v>0</v>
      </c>
      <c r="E1486" s="45">
        <f t="shared" ref="E1486:E1488" si="1746">(S1487-S1486)*80</f>
        <v>0</v>
      </c>
      <c r="F1486" s="45">
        <f t="shared" ref="F1486:F1488" si="1747">(Z1487-Z1486)*1</f>
        <v>0</v>
      </c>
      <c r="G1486" s="79">
        <f t="shared" ref="G1486:G1488" si="1748">C1486+D1486+F1486+E1486</f>
        <v>0</v>
      </c>
      <c r="H1486" s="199">
        <v>5374</v>
      </c>
      <c r="I1486" s="199">
        <v>981</v>
      </c>
      <c r="J1486" s="200">
        <f t="shared" si="1624"/>
        <v>6355</v>
      </c>
      <c r="K1486" s="201">
        <f t="shared" si="1687"/>
        <v>6355</v>
      </c>
      <c r="L1486" s="276">
        <v>482</v>
      </c>
      <c r="M1486" s="249">
        <v>0.40625</v>
      </c>
      <c r="N1486" s="235">
        <v>228907</v>
      </c>
      <c r="O1486" s="235">
        <v>113884</v>
      </c>
      <c r="P1486" s="235">
        <v>11047</v>
      </c>
      <c r="Q1486" s="235"/>
      <c r="R1486" s="235">
        <v>47165</v>
      </c>
      <c r="S1486" s="236">
        <v>1618.7</v>
      </c>
      <c r="T1486" s="236"/>
      <c r="U1486" s="236"/>
      <c r="V1486" s="235">
        <v>330578</v>
      </c>
      <c r="W1486" s="235">
        <v>131744</v>
      </c>
      <c r="X1486" s="235">
        <v>117289</v>
      </c>
      <c r="Y1486" s="235">
        <v>92778</v>
      </c>
      <c r="Z1486" s="235">
        <v>224431</v>
      </c>
    </row>
    <row r="1487" spans="1:26" ht="18" hidden="1" customHeight="1" x14ac:dyDescent="0.2">
      <c r="A1487" s="279">
        <f t="shared" si="1634"/>
        <v>44338</v>
      </c>
      <c r="B1487" s="279" t="s">
        <v>195</v>
      </c>
      <c r="C1487" s="48">
        <f t="shared" si="1745"/>
        <v>0</v>
      </c>
      <c r="D1487" s="84">
        <f t="shared" si="1693"/>
        <v>0</v>
      </c>
      <c r="E1487" s="45">
        <f t="shared" si="1746"/>
        <v>0</v>
      </c>
      <c r="F1487" s="45">
        <f t="shared" si="1747"/>
        <v>0</v>
      </c>
      <c r="G1487" s="79">
        <f t="shared" si="1748"/>
        <v>0</v>
      </c>
      <c r="H1487" s="199">
        <v>0</v>
      </c>
      <c r="I1487" s="199">
        <f>1905+789</f>
        <v>2694</v>
      </c>
      <c r="J1487" s="200">
        <f t="shared" si="1624"/>
        <v>2694</v>
      </c>
      <c r="K1487" s="201">
        <f t="shared" si="1687"/>
        <v>2694</v>
      </c>
      <c r="L1487" s="276">
        <v>178</v>
      </c>
      <c r="M1487" s="249">
        <v>0.38541666666666669</v>
      </c>
      <c r="N1487" s="153">
        <v>228907</v>
      </c>
      <c r="O1487" s="153">
        <v>113884</v>
      </c>
      <c r="P1487" s="153">
        <v>11047</v>
      </c>
      <c r="Q1487" s="153"/>
      <c r="R1487" s="153">
        <v>47165</v>
      </c>
      <c r="S1487" s="154">
        <v>1618.7</v>
      </c>
      <c r="T1487" s="154"/>
      <c r="U1487" s="154"/>
      <c r="V1487" s="153">
        <v>330578</v>
      </c>
      <c r="W1487" s="153">
        <v>131744</v>
      </c>
      <c r="X1487" s="153">
        <v>117289</v>
      </c>
      <c r="Y1487" s="153">
        <v>92778</v>
      </c>
      <c r="Z1487" s="153">
        <v>224431</v>
      </c>
    </row>
    <row r="1488" spans="1:26" ht="18" hidden="1" customHeight="1" x14ac:dyDescent="0.2">
      <c r="A1488" s="279">
        <f t="shared" si="1634"/>
        <v>44339</v>
      </c>
      <c r="B1488" s="278" t="s">
        <v>190</v>
      </c>
      <c r="C1488" s="48">
        <f t="shared" si="1745"/>
        <v>5196</v>
      </c>
      <c r="D1488" s="84">
        <f t="shared" si="1693"/>
        <v>1260</v>
      </c>
      <c r="E1488" s="45">
        <f t="shared" si="1746"/>
        <v>2696.0000000000036</v>
      </c>
      <c r="F1488" s="45">
        <f t="shared" si="1747"/>
        <v>276</v>
      </c>
      <c r="G1488" s="79">
        <f t="shared" si="1748"/>
        <v>9428.0000000000036</v>
      </c>
      <c r="H1488" s="199">
        <v>0</v>
      </c>
      <c r="I1488" s="199">
        <v>1054</v>
      </c>
      <c r="J1488" s="200">
        <f t="shared" si="1624"/>
        <v>1054</v>
      </c>
      <c r="K1488" s="201">
        <f t="shared" si="1687"/>
        <v>-8374.0000000000036</v>
      </c>
      <c r="L1488" s="276">
        <v>82</v>
      </c>
      <c r="M1488" s="249">
        <v>0.78125</v>
      </c>
      <c r="N1488" s="153">
        <v>228907</v>
      </c>
      <c r="O1488" s="153">
        <v>113884</v>
      </c>
      <c r="P1488" s="153">
        <v>11047</v>
      </c>
      <c r="Q1488" s="153"/>
      <c r="R1488" s="153">
        <v>47165</v>
      </c>
      <c r="S1488" s="154">
        <v>1618.7</v>
      </c>
      <c r="T1488" s="154"/>
      <c r="U1488" s="154"/>
      <c r="V1488" s="153">
        <v>330578</v>
      </c>
      <c r="W1488" s="153">
        <v>131744</v>
      </c>
      <c r="X1488" s="153">
        <v>117289</v>
      </c>
      <c r="Y1488" s="153">
        <v>92778</v>
      </c>
      <c r="Z1488" s="153">
        <v>224431</v>
      </c>
    </row>
    <row r="1489" spans="1:26" ht="18" hidden="1" customHeight="1" x14ac:dyDescent="0.2">
      <c r="A1489" s="279">
        <f t="shared" si="1634"/>
        <v>44340</v>
      </c>
      <c r="B1489" s="280" t="s">
        <v>191</v>
      </c>
      <c r="C1489" s="48">
        <f t="shared" ref="C1489" si="1749">(V1490-V1489)*1+(W1490-W1489)*32+(X1490-X1489)*12+(Y1490-Y1489)*6</f>
        <v>2696</v>
      </c>
      <c r="D1489" s="84">
        <f t="shared" si="1693"/>
        <v>1214</v>
      </c>
      <c r="E1489" s="45">
        <f t="shared" ref="E1489" si="1750">(S1490-S1489)*80</f>
        <v>2367.9999999999927</v>
      </c>
      <c r="F1489" s="45">
        <f t="shared" ref="F1489" si="1751">(Z1490-Z1489)*1</f>
        <v>102</v>
      </c>
      <c r="G1489" s="79">
        <f t="shared" ref="G1489" si="1752">C1489+D1489+F1489+E1489</f>
        <v>6379.9999999999927</v>
      </c>
      <c r="H1489" s="199">
        <v>5653</v>
      </c>
      <c r="I1489" s="199">
        <v>660</v>
      </c>
      <c r="J1489" s="200">
        <f t="shared" si="1624"/>
        <v>6313</v>
      </c>
      <c r="K1489" s="201">
        <f t="shared" si="1687"/>
        <v>-66.999999999992724</v>
      </c>
      <c r="L1489" s="276">
        <v>512</v>
      </c>
      <c r="M1489" s="249">
        <v>0.44791666666666669</v>
      </c>
      <c r="N1489" s="235">
        <v>229057</v>
      </c>
      <c r="O1489" s="235">
        <v>113942</v>
      </c>
      <c r="P1489" s="235">
        <v>11047</v>
      </c>
      <c r="Q1489" s="235"/>
      <c r="R1489" s="235">
        <v>47225</v>
      </c>
      <c r="S1489" s="236">
        <v>1652.4</v>
      </c>
      <c r="T1489" s="236"/>
      <c r="U1489" s="236"/>
      <c r="V1489" s="235">
        <v>331266</v>
      </c>
      <c r="W1489" s="235">
        <v>131844</v>
      </c>
      <c r="X1489" s="235">
        <v>117398</v>
      </c>
      <c r="Y1489" s="235">
        <v>92778</v>
      </c>
      <c r="Z1489" s="235">
        <v>224707</v>
      </c>
    </row>
    <row r="1490" spans="1:26" ht="18" hidden="1" customHeight="1" x14ac:dyDescent="0.2">
      <c r="A1490" s="279">
        <f t="shared" si="1634"/>
        <v>44341</v>
      </c>
      <c r="B1490" s="280" t="s">
        <v>192</v>
      </c>
      <c r="C1490" s="48">
        <f t="shared" ref="C1490" si="1753">(V1491-V1490)*1+(W1491-W1490)*32+(X1491-X1490)*12+(Y1491-Y1490)*6</f>
        <v>2603</v>
      </c>
      <c r="D1490" s="84">
        <f t="shared" si="1693"/>
        <v>1056</v>
      </c>
      <c r="E1490" s="45">
        <f t="shared" ref="E1490" si="1754">(S1491-S1490)*80</f>
        <v>1960</v>
      </c>
      <c r="F1490" s="45">
        <f t="shared" ref="F1490" si="1755">(Z1491-Z1490)*1</f>
        <v>85</v>
      </c>
      <c r="G1490" s="79">
        <f t="shared" ref="G1490" si="1756">C1490+D1490+F1490+E1490</f>
        <v>5704</v>
      </c>
      <c r="H1490" s="199">
        <v>5097</v>
      </c>
      <c r="I1490" s="199">
        <v>971</v>
      </c>
      <c r="J1490" s="200">
        <f t="shared" si="1624"/>
        <v>6068</v>
      </c>
      <c r="K1490" s="201">
        <f t="shared" si="1687"/>
        <v>364</v>
      </c>
      <c r="L1490" s="276">
        <v>472</v>
      </c>
      <c r="M1490" s="249">
        <v>0.40625</v>
      </c>
      <c r="N1490" s="235">
        <v>229207</v>
      </c>
      <c r="O1490" s="235">
        <v>114001</v>
      </c>
      <c r="P1490" s="235">
        <v>11047</v>
      </c>
      <c r="Q1490" s="235"/>
      <c r="R1490" s="235">
        <v>47239</v>
      </c>
      <c r="S1490" s="236">
        <v>1682</v>
      </c>
      <c r="T1490" s="236"/>
      <c r="U1490" s="236"/>
      <c r="V1490" s="235">
        <v>331454</v>
      </c>
      <c r="W1490" s="235">
        <v>131895</v>
      </c>
      <c r="X1490" s="235">
        <v>117471</v>
      </c>
      <c r="Y1490" s="235">
        <v>92778</v>
      </c>
      <c r="Z1490" s="235">
        <v>224809</v>
      </c>
    </row>
    <row r="1491" spans="1:26" ht="18" hidden="1" customHeight="1" x14ac:dyDescent="0.2">
      <c r="A1491" s="279">
        <f t="shared" si="1634"/>
        <v>44342</v>
      </c>
      <c r="B1491" s="280" t="s">
        <v>193</v>
      </c>
      <c r="C1491" s="48">
        <f t="shared" ref="C1491" si="1757">(V1492-V1491)*1+(W1492-W1491)*32+(X1492-X1491)*12+(Y1492-Y1491)*6</f>
        <v>2486</v>
      </c>
      <c r="D1491" s="84">
        <f t="shared" si="1693"/>
        <v>1132</v>
      </c>
      <c r="E1491" s="45">
        <f t="shared" ref="E1491" si="1758">(S1492-S1491)*80</f>
        <v>2087.9999999999927</v>
      </c>
      <c r="F1491" s="45">
        <f t="shared" ref="F1491" si="1759">(Z1492-Z1491)*1</f>
        <v>79</v>
      </c>
      <c r="G1491" s="79">
        <f t="shared" ref="G1491" si="1760">C1491+D1491+F1491+E1491</f>
        <v>5784.9999999999927</v>
      </c>
      <c r="H1491" s="199">
        <v>5029</v>
      </c>
      <c r="I1491" s="199">
        <v>945</v>
      </c>
      <c r="J1491" s="200">
        <f t="shared" si="1624"/>
        <v>5974</v>
      </c>
      <c r="K1491" s="201">
        <f t="shared" si="1687"/>
        <v>189.00000000000728</v>
      </c>
      <c r="L1491" s="276">
        <v>472</v>
      </c>
      <c r="M1491" s="249">
        <v>0.38541666666666669</v>
      </c>
      <c r="N1491" s="235">
        <v>229337</v>
      </c>
      <c r="O1491" s="235">
        <v>114055</v>
      </c>
      <c r="P1491" s="235">
        <v>11047</v>
      </c>
      <c r="Q1491" s="235"/>
      <c r="R1491" s="235">
        <v>47255</v>
      </c>
      <c r="S1491" s="236">
        <v>1706.5</v>
      </c>
      <c r="T1491" s="236"/>
      <c r="U1491" s="236"/>
      <c r="V1491" s="235">
        <v>331681</v>
      </c>
      <c r="W1491" s="235">
        <v>131943</v>
      </c>
      <c r="X1491" s="235">
        <v>117541</v>
      </c>
      <c r="Y1491" s="235">
        <v>92778</v>
      </c>
      <c r="Z1491" s="235">
        <v>224894</v>
      </c>
    </row>
    <row r="1492" spans="1:26" ht="18" hidden="1" customHeight="1" x14ac:dyDescent="0.2">
      <c r="A1492" s="279">
        <f t="shared" si="1634"/>
        <v>44343</v>
      </c>
      <c r="B1492" s="280" t="s">
        <v>194</v>
      </c>
      <c r="C1492" s="48">
        <f t="shared" ref="C1492" si="1761">(V1493-V1492)*1+(W1493-W1492)*32+(X1493-X1492)*12+(Y1493-Y1492)*6</f>
        <v>2472</v>
      </c>
      <c r="D1492" s="84">
        <f t="shared" si="1693"/>
        <v>1131</v>
      </c>
      <c r="E1492" s="45">
        <f t="shared" ref="E1492" si="1762">(S1493-S1492)*80</f>
        <v>2216.0000000000036</v>
      </c>
      <c r="F1492" s="45">
        <f t="shared" ref="F1492" si="1763">(Z1493-Z1492)*1</f>
        <v>78</v>
      </c>
      <c r="G1492" s="79">
        <f t="shared" ref="G1492" si="1764">C1492+D1492+F1492+E1492</f>
        <v>5897.0000000000036</v>
      </c>
      <c r="H1492" s="199">
        <v>5176</v>
      </c>
      <c r="I1492" s="199">
        <v>932</v>
      </c>
      <c r="J1492" s="200">
        <f t="shared" si="1624"/>
        <v>6108</v>
      </c>
      <c r="K1492" s="201">
        <f t="shared" si="1687"/>
        <v>210.99999999999636</v>
      </c>
      <c r="L1492" s="276">
        <v>473</v>
      </c>
      <c r="M1492" s="249">
        <v>0.57291666666666663</v>
      </c>
      <c r="N1492" s="235">
        <v>229477</v>
      </c>
      <c r="O1492" s="235">
        <v>114108</v>
      </c>
      <c r="P1492" s="235">
        <v>11047</v>
      </c>
      <c r="Q1492" s="235"/>
      <c r="R1492" s="235">
        <v>47267</v>
      </c>
      <c r="S1492" s="236">
        <v>1732.6</v>
      </c>
      <c r="T1492" s="236"/>
      <c r="U1492" s="236"/>
      <c r="V1492" s="235">
        <v>331907</v>
      </c>
      <c r="W1492" s="235">
        <v>131990</v>
      </c>
      <c r="X1492" s="235">
        <v>117604</v>
      </c>
      <c r="Y1492" s="235">
        <v>92778</v>
      </c>
      <c r="Z1492" s="235">
        <v>224973</v>
      </c>
    </row>
    <row r="1493" spans="1:26" ht="18" hidden="1" customHeight="1" x14ac:dyDescent="0.2">
      <c r="A1493" s="279">
        <f t="shared" si="1634"/>
        <v>44344</v>
      </c>
      <c r="B1493" s="278" t="s">
        <v>189</v>
      </c>
      <c r="C1493" s="48">
        <f t="shared" ref="C1493:C1495" si="1765">(V1494-V1493)*1+(W1494-W1493)*32+(X1494-X1493)*12+(Y1494-Y1493)*6</f>
        <v>0</v>
      </c>
      <c r="D1493" s="84">
        <f t="shared" si="1693"/>
        <v>0</v>
      </c>
      <c r="E1493" s="45">
        <f t="shared" ref="E1493:E1495" si="1766">(S1494-S1493)*80</f>
        <v>0</v>
      </c>
      <c r="F1493" s="45">
        <f t="shared" ref="F1493:F1495" si="1767">(Z1494-Z1493)*1</f>
        <v>0</v>
      </c>
      <c r="G1493" s="79">
        <f t="shared" ref="G1493:G1495" si="1768">C1493+D1493+F1493+E1493</f>
        <v>0</v>
      </c>
      <c r="H1493" s="199">
        <v>5100</v>
      </c>
      <c r="I1493" s="199">
        <v>876</v>
      </c>
      <c r="J1493" s="200">
        <f t="shared" si="1624"/>
        <v>5976</v>
      </c>
      <c r="K1493" s="201">
        <f t="shared" si="1687"/>
        <v>5976</v>
      </c>
      <c r="L1493" s="276">
        <v>478</v>
      </c>
      <c r="M1493" s="249">
        <v>0.40625</v>
      </c>
      <c r="N1493" s="235">
        <v>229617</v>
      </c>
      <c r="O1493" s="235">
        <v>114158</v>
      </c>
      <c r="P1493" s="235">
        <v>11047</v>
      </c>
      <c r="Q1493" s="235"/>
      <c r="R1493" s="235">
        <v>47278</v>
      </c>
      <c r="S1493" s="236">
        <v>1760.3</v>
      </c>
      <c r="T1493" s="236"/>
      <c r="U1493" s="236"/>
      <c r="V1493" s="235">
        <v>332147</v>
      </c>
      <c r="W1493" s="235">
        <v>132038</v>
      </c>
      <c r="X1493" s="235">
        <v>117662</v>
      </c>
      <c r="Y1493" s="235">
        <v>92778</v>
      </c>
      <c r="Z1493" s="235">
        <v>225051</v>
      </c>
    </row>
    <row r="1494" spans="1:26" ht="18" hidden="1" customHeight="1" x14ac:dyDescent="0.2">
      <c r="A1494" s="279">
        <f t="shared" si="1634"/>
        <v>44345</v>
      </c>
      <c r="B1494" s="279" t="s">
        <v>195</v>
      </c>
      <c r="C1494" s="48">
        <f t="shared" si="1765"/>
        <v>0</v>
      </c>
      <c r="D1494" s="84">
        <f t="shared" si="1693"/>
        <v>0</v>
      </c>
      <c r="E1494" s="45">
        <f t="shared" si="1766"/>
        <v>0</v>
      </c>
      <c r="F1494" s="45">
        <f t="shared" si="1767"/>
        <v>0</v>
      </c>
      <c r="G1494" s="79">
        <f t="shared" si="1768"/>
        <v>0</v>
      </c>
      <c r="H1494" s="199">
        <v>0</v>
      </c>
      <c r="I1494" s="199">
        <f>508+562</f>
        <v>1070</v>
      </c>
      <c r="J1494" s="200">
        <f t="shared" si="1624"/>
        <v>1070</v>
      </c>
      <c r="K1494" s="201">
        <f t="shared" si="1687"/>
        <v>1070</v>
      </c>
      <c r="L1494" s="276">
        <v>77</v>
      </c>
      <c r="M1494" s="249">
        <v>0.16666666666666666</v>
      </c>
      <c r="N1494" s="153">
        <v>229617</v>
      </c>
      <c r="O1494" s="153">
        <v>114158</v>
      </c>
      <c r="P1494" s="153">
        <v>11047</v>
      </c>
      <c r="Q1494" s="153"/>
      <c r="R1494" s="153">
        <v>47278</v>
      </c>
      <c r="S1494" s="154">
        <v>1760.3</v>
      </c>
      <c r="T1494" s="154"/>
      <c r="U1494" s="154"/>
      <c r="V1494" s="153">
        <v>332147</v>
      </c>
      <c r="W1494" s="153">
        <v>132038</v>
      </c>
      <c r="X1494" s="153">
        <v>117662</v>
      </c>
      <c r="Y1494" s="153">
        <v>92778</v>
      </c>
      <c r="Z1494" s="153">
        <v>225051</v>
      </c>
    </row>
    <row r="1495" spans="1:26" ht="18" hidden="1" customHeight="1" x14ac:dyDescent="0.2">
      <c r="A1495" s="279">
        <f t="shared" si="1634"/>
        <v>44346</v>
      </c>
      <c r="B1495" s="278" t="s">
        <v>190</v>
      </c>
      <c r="C1495" s="48">
        <f t="shared" si="1765"/>
        <v>2438</v>
      </c>
      <c r="D1495" s="84">
        <f t="shared" si="1693"/>
        <v>1664</v>
      </c>
      <c r="E1495" s="45">
        <f t="shared" si="1766"/>
        <v>1983.9999999999964</v>
      </c>
      <c r="F1495" s="45">
        <f t="shared" si="1767"/>
        <v>124</v>
      </c>
      <c r="G1495" s="79">
        <f t="shared" si="1768"/>
        <v>6209.9999999999964</v>
      </c>
      <c r="H1495" s="199">
        <v>0</v>
      </c>
      <c r="I1495" s="199">
        <v>27</v>
      </c>
      <c r="J1495" s="200">
        <f t="shared" si="1624"/>
        <v>27</v>
      </c>
      <c r="K1495" s="201">
        <f t="shared" si="1687"/>
        <v>-6182.9999999999964</v>
      </c>
      <c r="L1495" s="276">
        <v>33</v>
      </c>
      <c r="M1495" s="249">
        <v>6.25E-2</v>
      </c>
      <c r="N1495" s="153">
        <v>229617</v>
      </c>
      <c r="O1495" s="153">
        <v>114158</v>
      </c>
      <c r="P1495" s="153">
        <v>11047</v>
      </c>
      <c r="Q1495" s="153"/>
      <c r="R1495" s="153">
        <v>47278</v>
      </c>
      <c r="S1495" s="154">
        <v>1760.3</v>
      </c>
      <c r="T1495" s="154"/>
      <c r="U1495" s="154"/>
      <c r="V1495" s="153">
        <v>332147</v>
      </c>
      <c r="W1495" s="153">
        <v>132038</v>
      </c>
      <c r="X1495" s="153">
        <v>117662</v>
      </c>
      <c r="Y1495" s="153">
        <v>92778</v>
      </c>
      <c r="Z1495" s="153">
        <v>225051</v>
      </c>
    </row>
    <row r="1496" spans="1:26" ht="18" hidden="1" customHeight="1" x14ac:dyDescent="0.2">
      <c r="A1496" s="279">
        <f t="shared" si="1634"/>
        <v>44347</v>
      </c>
      <c r="B1496" s="280" t="s">
        <v>191</v>
      </c>
      <c r="C1496" s="48">
        <f t="shared" ref="C1496" si="1769">(V1497-V1496)*1+(W1497-W1496)*32+(X1497-X1496)*12+(Y1497-Y1496)*6</f>
        <v>2188</v>
      </c>
      <c r="D1496" s="84">
        <f t="shared" si="1693"/>
        <v>201</v>
      </c>
      <c r="E1496" s="45">
        <f t="shared" ref="E1496" si="1770">(S1497-S1496)*80</f>
        <v>552.00000000000728</v>
      </c>
      <c r="F1496" s="45">
        <f t="shared" ref="F1496" si="1771">(Z1497-Z1496)*1</f>
        <v>59</v>
      </c>
      <c r="G1496" s="79">
        <f t="shared" ref="G1496" si="1772">C1496+D1496+F1496+E1496</f>
        <v>3000.0000000000073</v>
      </c>
      <c r="H1496" s="199"/>
      <c r="I1496" s="199"/>
      <c r="J1496" s="200">
        <f t="shared" ref="J1496:J1528" si="1773">H1496+I1496</f>
        <v>0</v>
      </c>
      <c r="K1496" s="201">
        <f t="shared" ref="K1496:K1528" si="1774">J1496-G1496</f>
        <v>-3000.0000000000073</v>
      </c>
      <c r="L1496" s="276">
        <v>299</v>
      </c>
      <c r="M1496" s="249" t="s">
        <v>203</v>
      </c>
      <c r="N1496" s="235">
        <v>229737</v>
      </c>
      <c r="O1496" s="235">
        <v>114200</v>
      </c>
      <c r="P1496" s="235">
        <v>11054</v>
      </c>
      <c r="Q1496" s="235"/>
      <c r="R1496" s="235">
        <v>47926</v>
      </c>
      <c r="S1496" s="236">
        <v>1785.1</v>
      </c>
      <c r="T1496" s="236"/>
      <c r="U1496" s="236"/>
      <c r="V1496" s="235">
        <v>332537</v>
      </c>
      <c r="W1496" s="235">
        <v>132096</v>
      </c>
      <c r="X1496" s="235">
        <v>117678</v>
      </c>
      <c r="Y1496" s="235">
        <v>92778</v>
      </c>
      <c r="Z1496" s="235">
        <v>225175</v>
      </c>
    </row>
    <row r="1497" spans="1:26" ht="18" hidden="1" customHeight="1" x14ac:dyDescent="0.2">
      <c r="A1497" s="279">
        <f t="shared" si="1634"/>
        <v>44348</v>
      </c>
      <c r="B1497" s="280" t="s">
        <v>192</v>
      </c>
      <c r="C1497" s="48">
        <f t="shared" ref="C1497" si="1775">(V1498-V1497)*1+(W1498-W1497)*32+(X1498-X1497)*12+(Y1498-Y1497)*6</f>
        <v>2683</v>
      </c>
      <c r="D1497" s="84">
        <f t="shared" si="1693"/>
        <v>1137</v>
      </c>
      <c r="E1497" s="45">
        <f t="shared" ref="E1497" si="1776">(S1498-S1497)*80</f>
        <v>2576.0000000000036</v>
      </c>
      <c r="F1497" s="45">
        <f t="shared" ref="F1497" si="1777">(Z1498-Z1497)*1</f>
        <v>63</v>
      </c>
      <c r="G1497" s="79">
        <f t="shared" ref="G1497:G1498" si="1778">C1497+D1497+F1497+E1497</f>
        <v>6459.0000000000036</v>
      </c>
      <c r="H1497" s="199">
        <v>5659</v>
      </c>
      <c r="I1497" s="199">
        <v>975</v>
      </c>
      <c r="J1497" s="200">
        <f t="shared" si="1773"/>
        <v>6634</v>
      </c>
      <c r="K1497" s="201">
        <f t="shared" si="1774"/>
        <v>174.99999999999636</v>
      </c>
      <c r="L1497" s="276">
        <v>477</v>
      </c>
      <c r="M1497" s="249">
        <v>0.40625</v>
      </c>
      <c r="N1497" s="235">
        <v>229837</v>
      </c>
      <c r="O1497" s="235">
        <v>114238</v>
      </c>
      <c r="P1497" s="235">
        <v>11058</v>
      </c>
      <c r="Q1497" s="235"/>
      <c r="R1497" s="235">
        <v>47295</v>
      </c>
      <c r="S1497" s="236">
        <v>1792</v>
      </c>
      <c r="T1497" s="236"/>
      <c r="U1497" s="236"/>
      <c r="V1497" s="235">
        <v>332685</v>
      </c>
      <c r="W1497" s="235">
        <v>132123</v>
      </c>
      <c r="X1497" s="235">
        <v>117776</v>
      </c>
      <c r="Y1497" s="235">
        <v>92778</v>
      </c>
      <c r="Z1497" s="235">
        <v>225234</v>
      </c>
    </row>
    <row r="1498" spans="1:26" ht="18" hidden="1" customHeight="1" x14ac:dyDescent="0.2">
      <c r="A1498" s="279">
        <f t="shared" si="1634"/>
        <v>44349</v>
      </c>
      <c r="B1498" s="280" t="s">
        <v>193</v>
      </c>
      <c r="C1498" s="48">
        <f t="shared" ref="C1498" si="1779">(V1499-V1498)*1+(W1499-W1498)*32+(X1499-X1498)*12+(Y1499-Y1498)*6</f>
        <v>2485</v>
      </c>
      <c r="D1498" s="84">
        <f t="shared" si="1693"/>
        <v>1144</v>
      </c>
      <c r="E1498" s="45">
        <f t="shared" ref="E1498" si="1780">(S1499-S1498)*80</f>
        <v>2440</v>
      </c>
      <c r="F1498" s="45">
        <f t="shared" ref="F1498" si="1781">(Z1499-Z1498)*1</f>
        <v>83</v>
      </c>
      <c r="G1498" s="79">
        <f t="shared" si="1778"/>
        <v>6152</v>
      </c>
      <c r="H1498" s="199">
        <v>5407</v>
      </c>
      <c r="I1498" s="199">
        <v>933</v>
      </c>
      <c r="J1498" s="200">
        <f t="shared" si="1773"/>
        <v>6340</v>
      </c>
      <c r="K1498" s="201">
        <f t="shared" si="1774"/>
        <v>188</v>
      </c>
      <c r="L1498" s="276">
        <v>473</v>
      </c>
      <c r="M1498" s="276" t="s">
        <v>204</v>
      </c>
      <c r="N1498" s="235">
        <v>229977</v>
      </c>
      <c r="O1498" s="235">
        <v>114290</v>
      </c>
      <c r="P1498" s="235">
        <v>11060</v>
      </c>
      <c r="Q1498" s="235"/>
      <c r="R1498" s="235">
        <v>47296</v>
      </c>
      <c r="S1498" s="236">
        <v>1824.2</v>
      </c>
      <c r="T1498" s="236"/>
      <c r="U1498" s="236"/>
      <c r="V1498" s="235">
        <v>332892</v>
      </c>
      <c r="W1498" s="235">
        <v>132173</v>
      </c>
      <c r="X1498" s="235">
        <v>117849</v>
      </c>
      <c r="Y1498" s="235">
        <v>92778</v>
      </c>
      <c r="Z1498" s="235">
        <v>225297</v>
      </c>
    </row>
    <row r="1499" spans="1:26" ht="18" hidden="1" customHeight="1" x14ac:dyDescent="0.2">
      <c r="A1499" s="279">
        <f t="shared" si="1634"/>
        <v>44350</v>
      </c>
      <c r="B1499" s="280" t="s">
        <v>194</v>
      </c>
      <c r="C1499" s="48">
        <f t="shared" ref="C1499" si="1782">(V1500-V1499)*1+(W1500-W1499)*32+(X1500-X1499)*12+(Y1500-Y1499)*6</f>
        <v>2507</v>
      </c>
      <c r="D1499" s="84">
        <f t="shared" si="1693"/>
        <v>1120</v>
      </c>
      <c r="E1499" s="45">
        <f t="shared" ref="E1499" si="1783">(S1500-S1499)*80</f>
        <v>2096.0000000000036</v>
      </c>
      <c r="F1499" s="45">
        <f t="shared" ref="F1499" si="1784">(Z1500-Z1499)*1</f>
        <v>89</v>
      </c>
      <c r="G1499" s="79">
        <f t="shared" ref="G1499" si="1785">C1499+D1499+F1499+E1499</f>
        <v>5812.0000000000036</v>
      </c>
      <c r="H1499" s="199">
        <v>5116</v>
      </c>
      <c r="I1499" s="199">
        <v>898</v>
      </c>
      <c r="J1499" s="200">
        <f t="shared" si="1773"/>
        <v>6014</v>
      </c>
      <c r="K1499" s="201">
        <f t="shared" si="1774"/>
        <v>201.99999999999636</v>
      </c>
      <c r="L1499" s="276">
        <v>479</v>
      </c>
      <c r="M1499" s="249">
        <v>0.5</v>
      </c>
      <c r="N1499" s="235">
        <v>230107</v>
      </c>
      <c r="O1499" s="235">
        <v>114342</v>
      </c>
      <c r="P1499" s="235">
        <v>11073</v>
      </c>
      <c r="Q1499" s="235"/>
      <c r="R1499" s="235">
        <v>47296</v>
      </c>
      <c r="S1499" s="236">
        <v>1854.7</v>
      </c>
      <c r="T1499" s="236"/>
      <c r="U1499" s="236"/>
      <c r="V1499" s="235">
        <v>333097</v>
      </c>
      <c r="W1499" s="235">
        <v>132221</v>
      </c>
      <c r="X1499" s="235">
        <v>117911</v>
      </c>
      <c r="Y1499" s="235">
        <v>92778</v>
      </c>
      <c r="Z1499" s="235">
        <v>225380</v>
      </c>
    </row>
    <row r="1500" spans="1:26" ht="18" hidden="1" customHeight="1" x14ac:dyDescent="0.2">
      <c r="A1500" s="279">
        <f t="shared" si="1634"/>
        <v>44351</v>
      </c>
      <c r="B1500" s="278" t="s">
        <v>189</v>
      </c>
      <c r="C1500" s="48">
        <f t="shared" ref="C1500:C1502" si="1786">(V1501-V1500)*1+(W1501-W1500)*32+(X1501-X1500)*12+(Y1501-Y1500)*6</f>
        <v>0</v>
      </c>
      <c r="D1500" s="84">
        <f t="shared" si="1693"/>
        <v>0</v>
      </c>
      <c r="E1500" s="45">
        <f t="shared" ref="E1500:E1502" si="1787">(S1501-S1500)*80</f>
        <v>0</v>
      </c>
      <c r="F1500" s="45">
        <f t="shared" ref="F1500:F1502" si="1788">(Z1501-Z1500)*1</f>
        <v>0</v>
      </c>
      <c r="G1500" s="79">
        <f t="shared" ref="G1500:G1502" si="1789">C1500+D1500+F1500+E1500</f>
        <v>0</v>
      </c>
      <c r="H1500" s="199">
        <v>5089</v>
      </c>
      <c r="I1500" s="199">
        <v>884</v>
      </c>
      <c r="J1500" s="200">
        <f t="shared" si="1773"/>
        <v>5973</v>
      </c>
      <c r="K1500" s="201">
        <f t="shared" si="1774"/>
        <v>5973</v>
      </c>
      <c r="L1500" s="276">
        <v>491</v>
      </c>
      <c r="M1500" s="249">
        <v>0.38541666666666669</v>
      </c>
      <c r="N1500" s="235">
        <v>230237</v>
      </c>
      <c r="O1500" s="235">
        <v>114394</v>
      </c>
      <c r="P1500" s="235">
        <v>11083</v>
      </c>
      <c r="Q1500" s="235"/>
      <c r="R1500" s="235">
        <v>47296</v>
      </c>
      <c r="S1500" s="236">
        <v>1880.9</v>
      </c>
      <c r="T1500" s="236"/>
      <c r="U1500" s="236"/>
      <c r="V1500" s="235">
        <v>333332</v>
      </c>
      <c r="W1500" s="235">
        <v>132268</v>
      </c>
      <c r="X1500" s="235">
        <v>117975</v>
      </c>
      <c r="Y1500" s="235">
        <v>92778</v>
      </c>
      <c r="Z1500" s="235">
        <v>225469</v>
      </c>
    </row>
    <row r="1501" spans="1:26" ht="18" hidden="1" customHeight="1" x14ac:dyDescent="0.2">
      <c r="A1501" s="279">
        <f t="shared" si="1634"/>
        <v>44352</v>
      </c>
      <c r="B1501" s="279" t="s">
        <v>195</v>
      </c>
      <c r="C1501" s="48">
        <f t="shared" si="1786"/>
        <v>0</v>
      </c>
      <c r="D1501" s="84">
        <f t="shared" si="1693"/>
        <v>0</v>
      </c>
      <c r="E1501" s="45">
        <f t="shared" si="1787"/>
        <v>0</v>
      </c>
      <c r="F1501" s="45">
        <f t="shared" si="1788"/>
        <v>0</v>
      </c>
      <c r="G1501" s="79">
        <f t="shared" si="1789"/>
        <v>0</v>
      </c>
      <c r="H1501" s="199">
        <v>0</v>
      </c>
      <c r="I1501" s="199">
        <f>1016+623</f>
        <v>1639</v>
      </c>
      <c r="J1501" s="200">
        <f t="shared" si="1773"/>
        <v>1639</v>
      </c>
      <c r="K1501" s="201">
        <f t="shared" si="1774"/>
        <v>1639</v>
      </c>
      <c r="L1501" s="276">
        <v>160</v>
      </c>
      <c r="M1501" s="249">
        <v>0.5</v>
      </c>
      <c r="N1501" s="153">
        <v>230237</v>
      </c>
      <c r="O1501" s="153">
        <v>114394</v>
      </c>
      <c r="P1501" s="153">
        <v>11083</v>
      </c>
      <c r="Q1501" s="153"/>
      <c r="R1501" s="153">
        <v>47296</v>
      </c>
      <c r="S1501" s="154">
        <v>1880.9</v>
      </c>
      <c r="T1501" s="154"/>
      <c r="U1501" s="154"/>
      <c r="V1501" s="153">
        <v>333332</v>
      </c>
      <c r="W1501" s="153">
        <v>132268</v>
      </c>
      <c r="X1501" s="153">
        <v>117975</v>
      </c>
      <c r="Y1501" s="153">
        <v>92778</v>
      </c>
      <c r="Z1501" s="153">
        <v>225469</v>
      </c>
    </row>
    <row r="1502" spans="1:26" ht="18" hidden="1" customHeight="1" x14ac:dyDescent="0.2">
      <c r="A1502" s="279">
        <f t="shared" si="1634"/>
        <v>44353</v>
      </c>
      <c r="B1502" s="278" t="s">
        <v>190</v>
      </c>
      <c r="C1502" s="48">
        <f t="shared" si="1786"/>
        <v>4033</v>
      </c>
      <c r="D1502" s="84">
        <f t="shared" si="1693"/>
        <v>1223</v>
      </c>
      <c r="E1502" s="45">
        <f t="shared" si="1787"/>
        <v>2327.9999999999927</v>
      </c>
      <c r="F1502" s="45">
        <f t="shared" si="1788"/>
        <v>222</v>
      </c>
      <c r="G1502" s="79">
        <f t="shared" si="1789"/>
        <v>7805.9999999999927</v>
      </c>
      <c r="H1502" s="199">
        <v>0</v>
      </c>
      <c r="I1502" s="199">
        <v>953</v>
      </c>
      <c r="J1502" s="200">
        <f t="shared" si="1773"/>
        <v>953</v>
      </c>
      <c r="K1502" s="201">
        <f t="shared" si="1774"/>
        <v>-6852.9999999999927</v>
      </c>
      <c r="L1502" s="276">
        <v>71</v>
      </c>
      <c r="M1502" s="249">
        <v>0.375</v>
      </c>
      <c r="N1502" s="153">
        <v>230237</v>
      </c>
      <c r="O1502" s="153">
        <v>114394</v>
      </c>
      <c r="P1502" s="153">
        <v>11083</v>
      </c>
      <c r="Q1502" s="153"/>
      <c r="R1502" s="153">
        <v>47296</v>
      </c>
      <c r="S1502" s="154">
        <v>1880.9</v>
      </c>
      <c r="T1502" s="154"/>
      <c r="U1502" s="154"/>
      <c r="V1502" s="153">
        <v>333332</v>
      </c>
      <c r="W1502" s="153">
        <v>132268</v>
      </c>
      <c r="X1502" s="153">
        <v>117975</v>
      </c>
      <c r="Y1502" s="153">
        <v>92778</v>
      </c>
      <c r="Z1502" s="153">
        <v>225469</v>
      </c>
    </row>
    <row r="1503" spans="1:26" ht="18" hidden="1" customHeight="1" x14ac:dyDescent="0.2">
      <c r="A1503" s="279">
        <f t="shared" si="1634"/>
        <v>44354</v>
      </c>
      <c r="B1503" s="280" t="s">
        <v>191</v>
      </c>
      <c r="C1503" s="48">
        <f t="shared" ref="C1503" si="1790">(V1504-V1503)*1+(W1504-W1503)*32+(X1504-X1503)*12+(Y1504-Y1503)*6</f>
        <v>2795</v>
      </c>
      <c r="D1503" s="84">
        <f t="shared" si="1693"/>
        <v>1209</v>
      </c>
      <c r="E1503" s="45">
        <f t="shared" ref="E1503" si="1791">(S1504-S1503)*80</f>
        <v>2183.9999999999964</v>
      </c>
      <c r="F1503" s="45">
        <f t="shared" ref="F1503" si="1792">(Z1504-Z1503)*1</f>
        <v>41</v>
      </c>
      <c r="G1503" s="79">
        <f t="shared" ref="G1503" si="1793">C1503+D1503+F1503+E1503</f>
        <v>6228.9999999999964</v>
      </c>
      <c r="H1503" s="199">
        <v>5540</v>
      </c>
      <c r="I1503" s="199">
        <v>545</v>
      </c>
      <c r="J1503" s="200">
        <f t="shared" si="1773"/>
        <v>6085</v>
      </c>
      <c r="K1503" s="201">
        <f t="shared" si="1774"/>
        <v>-143.99999999999636</v>
      </c>
      <c r="L1503" s="276">
        <v>489</v>
      </c>
      <c r="M1503" s="276" t="s">
        <v>205</v>
      </c>
      <c r="N1503" s="235">
        <v>230377</v>
      </c>
      <c r="O1503" s="235">
        <v>114445</v>
      </c>
      <c r="P1503" s="235">
        <v>11096</v>
      </c>
      <c r="Q1503" s="235"/>
      <c r="R1503" s="235">
        <v>47295</v>
      </c>
      <c r="S1503" s="236">
        <v>1910</v>
      </c>
      <c r="T1503" s="236"/>
      <c r="U1503" s="236"/>
      <c r="V1503" s="235">
        <v>333833</v>
      </c>
      <c r="W1503" s="235">
        <v>132351</v>
      </c>
      <c r="X1503" s="235">
        <v>118048</v>
      </c>
      <c r="Y1503" s="235">
        <v>92778</v>
      </c>
      <c r="Z1503" s="235">
        <v>225691</v>
      </c>
    </row>
    <row r="1504" spans="1:26" ht="18" hidden="1" customHeight="1" x14ac:dyDescent="0.2">
      <c r="A1504" s="279">
        <f t="shared" si="1634"/>
        <v>44355</v>
      </c>
      <c r="B1504" s="280" t="s">
        <v>192</v>
      </c>
      <c r="C1504" s="48">
        <f t="shared" ref="C1504" si="1794">(V1505-V1504)*1+(W1505-W1504)*32+(X1505-X1504)*12+(Y1505-Y1504)*6</f>
        <v>2807</v>
      </c>
      <c r="D1504" s="84">
        <f t="shared" si="1693"/>
        <v>1160</v>
      </c>
      <c r="E1504" s="45">
        <f t="shared" ref="E1504" si="1795">(S1505-S1504)*80</f>
        <v>2152.0000000000073</v>
      </c>
      <c r="F1504" s="45">
        <f t="shared" ref="F1504" si="1796">(Z1505-Z1504)*1</f>
        <v>59</v>
      </c>
      <c r="G1504" s="79">
        <f t="shared" ref="G1504" si="1797">C1504+D1504+F1504+E1504</f>
        <v>6178.0000000000073</v>
      </c>
      <c r="H1504" s="199">
        <v>5455</v>
      </c>
      <c r="I1504" s="199">
        <v>906</v>
      </c>
      <c r="J1504" s="200">
        <f t="shared" si="1773"/>
        <v>6361</v>
      </c>
      <c r="K1504" s="201">
        <f t="shared" si="1774"/>
        <v>182.99999999999272</v>
      </c>
      <c r="L1504" s="276">
        <v>506</v>
      </c>
      <c r="M1504" s="249">
        <v>0.46875</v>
      </c>
      <c r="N1504" s="235">
        <v>230517</v>
      </c>
      <c r="O1504" s="235">
        <v>114502</v>
      </c>
      <c r="P1504" s="235">
        <v>11107</v>
      </c>
      <c r="Q1504" s="235"/>
      <c r="R1504" s="235">
        <v>47296</v>
      </c>
      <c r="S1504" s="236">
        <v>1937.3</v>
      </c>
      <c r="T1504" s="236"/>
      <c r="U1504" s="236"/>
      <c r="V1504" s="235">
        <v>334044</v>
      </c>
      <c r="W1504" s="235">
        <v>132401</v>
      </c>
      <c r="X1504" s="235">
        <v>118130</v>
      </c>
      <c r="Y1504" s="235">
        <v>92778</v>
      </c>
      <c r="Z1504" s="235">
        <v>225732</v>
      </c>
    </row>
    <row r="1505" spans="1:26" ht="18" hidden="1" customHeight="1" x14ac:dyDescent="0.2">
      <c r="A1505" s="279">
        <f t="shared" si="1634"/>
        <v>44356</v>
      </c>
      <c r="B1505" s="280" t="s">
        <v>193</v>
      </c>
      <c r="C1505" s="48">
        <f t="shared" ref="C1505" si="1798">(V1506-V1505)*1+(W1506-W1505)*32+(X1506-X1505)*12+(Y1506-Y1505)*6</f>
        <v>2743</v>
      </c>
      <c r="D1505" s="84">
        <f t="shared" si="1693"/>
        <v>1280</v>
      </c>
      <c r="E1505" s="45">
        <f t="shared" ref="E1505" si="1799">(S1506-S1505)*80</f>
        <v>1967.9999999999927</v>
      </c>
      <c r="F1505" s="45">
        <f t="shared" ref="F1505" si="1800">(Z1506-Z1505)*1</f>
        <v>54</v>
      </c>
      <c r="G1505" s="79">
        <f t="shared" ref="G1505" si="1801">C1505+D1505+F1505+E1505</f>
        <v>6044.9999999999927</v>
      </c>
      <c r="H1505" s="199">
        <v>5189</v>
      </c>
      <c r="I1505" s="199">
        <v>924</v>
      </c>
      <c r="J1505" s="200">
        <f t="shared" si="1773"/>
        <v>6113</v>
      </c>
      <c r="K1505" s="201">
        <f t="shared" si="1774"/>
        <v>68.000000000007276</v>
      </c>
      <c r="L1505" s="276">
        <v>476</v>
      </c>
      <c r="M1505" s="249">
        <v>0.47916666666666669</v>
      </c>
      <c r="N1505" s="235">
        <v>230657</v>
      </c>
      <c r="O1505" s="235">
        <v>114557</v>
      </c>
      <c r="P1505" s="235">
        <v>11112</v>
      </c>
      <c r="Q1505" s="235"/>
      <c r="R1505" s="235">
        <v>47296</v>
      </c>
      <c r="S1505" s="236">
        <v>1964.2</v>
      </c>
      <c r="T1505" s="236"/>
      <c r="U1505" s="236"/>
      <c r="V1505" s="235">
        <v>334287</v>
      </c>
      <c r="W1505" s="235">
        <v>132453</v>
      </c>
      <c r="X1505" s="235">
        <v>118205</v>
      </c>
      <c r="Y1505" s="235">
        <v>92778</v>
      </c>
      <c r="Z1505" s="235">
        <v>225791</v>
      </c>
    </row>
    <row r="1506" spans="1:26" ht="18" hidden="1" customHeight="1" x14ac:dyDescent="0.2">
      <c r="A1506" s="279">
        <f t="shared" si="1634"/>
        <v>44357</v>
      </c>
      <c r="B1506" s="280" t="s">
        <v>194</v>
      </c>
      <c r="C1506" s="48">
        <f t="shared" ref="C1506" si="1802">(V1507-V1506)*1+(W1507-W1506)*32+(X1507-X1506)*12+(Y1507-Y1506)*6</f>
        <v>2878</v>
      </c>
      <c r="D1506" s="84">
        <f t="shared" si="1693"/>
        <v>1200</v>
      </c>
      <c r="E1506" s="45">
        <f t="shared" ref="E1506" si="1803">(S1507-S1506)*80</f>
        <v>1912.0000000000073</v>
      </c>
      <c r="F1506" s="45">
        <f t="shared" ref="F1506" si="1804">(Z1507-Z1506)*1</f>
        <v>66</v>
      </c>
      <c r="G1506" s="79">
        <f t="shared" ref="G1506" si="1805">C1506+D1506+F1506+E1506</f>
        <v>6056.0000000000073</v>
      </c>
      <c r="H1506" s="199">
        <v>5304</v>
      </c>
      <c r="I1506" s="199">
        <v>940</v>
      </c>
      <c r="J1506" s="200">
        <f t="shared" si="1773"/>
        <v>6244</v>
      </c>
      <c r="K1506" s="201">
        <f t="shared" si="1774"/>
        <v>187.99999999999272</v>
      </c>
      <c r="L1506" s="276">
        <v>481</v>
      </c>
      <c r="M1506" s="249">
        <v>0.59375</v>
      </c>
      <c r="N1506" s="235">
        <v>230807</v>
      </c>
      <c r="O1506" s="235">
        <v>114611</v>
      </c>
      <c r="P1506" s="235">
        <v>11122</v>
      </c>
      <c r="Q1506" s="235"/>
      <c r="R1506" s="235">
        <v>47296</v>
      </c>
      <c r="S1506" s="236">
        <v>1988.8</v>
      </c>
      <c r="T1506" s="236"/>
      <c r="U1506" s="236"/>
      <c r="V1506" s="235">
        <v>334514</v>
      </c>
      <c r="W1506" s="235">
        <v>132505</v>
      </c>
      <c r="X1506" s="235">
        <v>118276</v>
      </c>
      <c r="Y1506" s="235">
        <v>92778</v>
      </c>
      <c r="Z1506" s="235">
        <v>225845</v>
      </c>
    </row>
    <row r="1507" spans="1:26" ht="18" hidden="1" customHeight="1" x14ac:dyDescent="0.2">
      <c r="A1507" s="279">
        <f t="shared" si="1634"/>
        <v>44358</v>
      </c>
      <c r="B1507" s="278" t="s">
        <v>189</v>
      </c>
      <c r="C1507" s="48">
        <f t="shared" ref="C1507:C1510" si="1806">(V1508-V1507)*1+(W1508-W1507)*32+(X1508-X1507)*12+(Y1508-Y1507)*6</f>
        <v>0</v>
      </c>
      <c r="D1507" s="84">
        <f t="shared" si="1693"/>
        <v>0</v>
      </c>
      <c r="E1507" s="45">
        <f t="shared" ref="E1507:E1510" si="1807">(S1508-S1507)*80</f>
        <v>0</v>
      </c>
      <c r="F1507" s="45">
        <f t="shared" ref="F1507:F1510" si="1808">(Z1508-Z1507)*1</f>
        <v>0</v>
      </c>
      <c r="G1507" s="79">
        <f t="shared" ref="G1507:G1510" si="1809">C1507+D1507+F1507+E1507</f>
        <v>0</v>
      </c>
      <c r="H1507" s="199">
        <v>4962</v>
      </c>
      <c r="I1507" s="199">
        <v>915</v>
      </c>
      <c r="J1507" s="200">
        <f t="shared" si="1773"/>
        <v>5877</v>
      </c>
      <c r="K1507" s="201">
        <f t="shared" si="1774"/>
        <v>5877</v>
      </c>
      <c r="L1507" s="276">
        <v>465</v>
      </c>
      <c r="M1507" s="249">
        <v>0.42708333333333331</v>
      </c>
      <c r="N1507" s="235">
        <v>230937</v>
      </c>
      <c r="O1507" s="235">
        <v>114665</v>
      </c>
      <c r="P1507" s="235">
        <v>11142</v>
      </c>
      <c r="Q1507" s="235"/>
      <c r="R1507" s="235">
        <v>47296</v>
      </c>
      <c r="S1507" s="236">
        <v>2012.7</v>
      </c>
      <c r="T1507" s="236"/>
      <c r="U1507" s="236"/>
      <c r="V1507" s="235">
        <v>334780</v>
      </c>
      <c r="W1507" s="235">
        <v>132557</v>
      </c>
      <c r="X1507" s="235">
        <v>118355</v>
      </c>
      <c r="Y1507" s="235">
        <v>92778</v>
      </c>
      <c r="Z1507" s="235">
        <v>225911</v>
      </c>
    </row>
    <row r="1508" spans="1:26" ht="18" hidden="1" customHeight="1" x14ac:dyDescent="0.2">
      <c r="A1508" s="279">
        <f t="shared" si="1634"/>
        <v>44359</v>
      </c>
      <c r="B1508" s="279" t="s">
        <v>195</v>
      </c>
      <c r="C1508" s="48">
        <f t="shared" si="1806"/>
        <v>0</v>
      </c>
      <c r="D1508" s="84">
        <f t="shared" si="1693"/>
        <v>0</v>
      </c>
      <c r="E1508" s="45">
        <f t="shared" si="1807"/>
        <v>0</v>
      </c>
      <c r="F1508" s="45">
        <f t="shared" si="1808"/>
        <v>0</v>
      </c>
      <c r="G1508" s="79">
        <f t="shared" si="1809"/>
        <v>0</v>
      </c>
      <c r="H1508" s="199">
        <v>0</v>
      </c>
      <c r="I1508" s="199">
        <f>525+606</f>
        <v>1131</v>
      </c>
      <c r="J1508" s="200">
        <f t="shared" si="1773"/>
        <v>1131</v>
      </c>
      <c r="K1508" s="201">
        <f t="shared" si="1774"/>
        <v>1131</v>
      </c>
      <c r="L1508" s="276">
        <v>85</v>
      </c>
      <c r="M1508" s="249">
        <v>0.13541666666666666</v>
      </c>
      <c r="N1508" s="288">
        <v>230937</v>
      </c>
      <c r="O1508" s="288">
        <v>114665</v>
      </c>
      <c r="P1508" s="288">
        <v>11142</v>
      </c>
      <c r="Q1508" s="288"/>
      <c r="R1508" s="288">
        <v>47296</v>
      </c>
      <c r="S1508" s="289">
        <v>2012.7</v>
      </c>
      <c r="T1508" s="289"/>
      <c r="U1508" s="289"/>
      <c r="V1508" s="288">
        <v>334780</v>
      </c>
      <c r="W1508" s="288">
        <v>132557</v>
      </c>
      <c r="X1508" s="288">
        <v>118355</v>
      </c>
      <c r="Y1508" s="288">
        <v>92778</v>
      </c>
      <c r="Z1508" s="288">
        <v>225911</v>
      </c>
    </row>
    <row r="1509" spans="1:26" ht="18" hidden="1" customHeight="1" x14ac:dyDescent="0.2">
      <c r="A1509" s="279">
        <f t="shared" si="1634"/>
        <v>44360</v>
      </c>
      <c r="B1509" s="278" t="s">
        <v>190</v>
      </c>
      <c r="C1509" s="48">
        <f t="shared" si="1806"/>
        <v>0</v>
      </c>
      <c r="D1509" s="84">
        <f t="shared" si="1693"/>
        <v>0</v>
      </c>
      <c r="E1509" s="45">
        <f t="shared" si="1807"/>
        <v>0</v>
      </c>
      <c r="F1509" s="45">
        <f t="shared" si="1808"/>
        <v>0</v>
      </c>
      <c r="G1509" s="79">
        <f t="shared" si="1809"/>
        <v>0</v>
      </c>
      <c r="H1509" s="199">
        <v>0</v>
      </c>
      <c r="I1509" s="199">
        <v>755</v>
      </c>
      <c r="J1509" s="200">
        <f t="shared" si="1773"/>
        <v>755</v>
      </c>
      <c r="K1509" s="201">
        <f t="shared" si="1774"/>
        <v>755</v>
      </c>
      <c r="L1509" s="276">
        <v>39</v>
      </c>
      <c r="M1509" s="249">
        <v>0.51041666666666663</v>
      </c>
      <c r="N1509" s="288">
        <v>230937</v>
      </c>
      <c r="O1509" s="288">
        <v>114665</v>
      </c>
      <c r="P1509" s="288">
        <v>11142</v>
      </c>
      <c r="Q1509" s="288"/>
      <c r="R1509" s="288">
        <v>47296</v>
      </c>
      <c r="S1509" s="289">
        <v>2012.7</v>
      </c>
      <c r="T1509" s="289"/>
      <c r="U1509" s="289"/>
      <c r="V1509" s="288">
        <v>334780</v>
      </c>
      <c r="W1509" s="288">
        <v>132557</v>
      </c>
      <c r="X1509" s="288">
        <v>118355</v>
      </c>
      <c r="Y1509" s="288">
        <v>92778</v>
      </c>
      <c r="Z1509" s="288">
        <v>225911</v>
      </c>
    </row>
    <row r="1510" spans="1:26" ht="18" hidden="1" customHeight="1" x14ac:dyDescent="0.2">
      <c r="A1510" s="279">
        <f t="shared" si="1634"/>
        <v>44361</v>
      </c>
      <c r="B1510" s="280" t="s">
        <v>191</v>
      </c>
      <c r="C1510" s="48">
        <f t="shared" si="1806"/>
        <v>4216</v>
      </c>
      <c r="D1510" s="84">
        <f t="shared" si="1693"/>
        <v>1216</v>
      </c>
      <c r="E1510" s="45">
        <f t="shared" si="1807"/>
        <v>2151.9999999999891</v>
      </c>
      <c r="F1510" s="45">
        <f t="shared" si="1808"/>
        <v>372</v>
      </c>
      <c r="G1510" s="79">
        <f t="shared" si="1809"/>
        <v>7955.9999999999891</v>
      </c>
      <c r="H1510" s="199">
        <v>0</v>
      </c>
      <c r="I1510" s="199">
        <v>1127</v>
      </c>
      <c r="J1510" s="200">
        <f t="shared" si="1773"/>
        <v>1127</v>
      </c>
      <c r="K1510" s="201">
        <f t="shared" si="1774"/>
        <v>-6828.9999999999891</v>
      </c>
      <c r="L1510" s="276">
        <v>110</v>
      </c>
      <c r="M1510" s="249">
        <v>0.27083333333333331</v>
      </c>
      <c r="N1510" s="288">
        <v>230937</v>
      </c>
      <c r="O1510" s="288">
        <v>114665</v>
      </c>
      <c r="P1510" s="288">
        <v>11142</v>
      </c>
      <c r="Q1510" s="288"/>
      <c r="R1510" s="288">
        <v>47296</v>
      </c>
      <c r="S1510" s="289">
        <v>2012.7</v>
      </c>
      <c r="T1510" s="289"/>
      <c r="U1510" s="289"/>
      <c r="V1510" s="288">
        <v>334780</v>
      </c>
      <c r="W1510" s="288">
        <v>132557</v>
      </c>
      <c r="X1510" s="288">
        <v>118355</v>
      </c>
      <c r="Y1510" s="288">
        <v>92778</v>
      </c>
      <c r="Z1510" s="288">
        <v>225911</v>
      </c>
    </row>
    <row r="1511" spans="1:26" ht="18" hidden="1" customHeight="1" x14ac:dyDescent="0.2">
      <c r="A1511" s="279">
        <f t="shared" si="1634"/>
        <v>44362</v>
      </c>
      <c r="B1511" s="280" t="s">
        <v>192</v>
      </c>
      <c r="C1511" s="48">
        <f t="shared" ref="C1511" si="1810">(V1512-V1511)*1+(W1512-W1511)*32+(X1512-X1511)*12+(Y1512-Y1511)*6</f>
        <v>2706</v>
      </c>
      <c r="D1511" s="84">
        <f t="shared" si="1693"/>
        <v>1208</v>
      </c>
      <c r="E1511" s="45">
        <f t="shared" ref="E1511" si="1811">(S1512-S1511)*80</f>
        <v>2120</v>
      </c>
      <c r="F1511" s="45">
        <f t="shared" ref="F1511" si="1812">(Z1512-Z1511)*1</f>
        <v>105</v>
      </c>
      <c r="G1511" s="79">
        <f t="shared" ref="G1511" si="1813">C1511+D1511+F1511+E1511</f>
        <v>6139</v>
      </c>
      <c r="H1511" s="199">
        <v>5451</v>
      </c>
      <c r="I1511" s="199">
        <v>580</v>
      </c>
      <c r="J1511" s="200">
        <f t="shared" si="1773"/>
        <v>6031</v>
      </c>
      <c r="K1511" s="201">
        <f t="shared" si="1774"/>
        <v>-108</v>
      </c>
      <c r="L1511" s="276">
        <v>481</v>
      </c>
      <c r="M1511" s="249">
        <v>0.625</v>
      </c>
      <c r="N1511" s="235">
        <v>231057</v>
      </c>
      <c r="O1511" s="235">
        <v>114717</v>
      </c>
      <c r="P1511" s="235">
        <v>11174</v>
      </c>
      <c r="Q1511" s="235"/>
      <c r="R1511" s="235">
        <v>47296</v>
      </c>
      <c r="S1511" s="236">
        <v>2039.6</v>
      </c>
      <c r="T1511" s="236"/>
      <c r="U1511" s="236"/>
      <c r="V1511" s="235">
        <v>335608</v>
      </c>
      <c r="W1511" s="235">
        <v>132637</v>
      </c>
      <c r="X1511" s="235">
        <v>118424</v>
      </c>
      <c r="Y1511" s="235">
        <v>92778</v>
      </c>
      <c r="Z1511" s="235">
        <v>226283</v>
      </c>
    </row>
    <row r="1512" spans="1:26" ht="18" hidden="1" customHeight="1" x14ac:dyDescent="0.2">
      <c r="A1512" s="279">
        <f t="shared" ref="A1512:A1575" si="1814">A1511+1</f>
        <v>44363</v>
      </c>
      <c r="B1512" s="280" t="s">
        <v>193</v>
      </c>
      <c r="C1512" s="48">
        <f t="shared" ref="C1512" si="1815">(V1513-V1512)*1+(W1513-W1512)*32+(X1513-X1512)*12+(Y1513-Y1512)*6</f>
        <v>2738</v>
      </c>
      <c r="D1512" s="84">
        <f t="shared" si="1693"/>
        <v>1296</v>
      </c>
      <c r="E1512" s="45">
        <f t="shared" ref="E1512" si="1816">(S1513-S1512)*80</f>
        <v>2127.9999999999927</v>
      </c>
      <c r="F1512" s="45">
        <f t="shared" ref="F1512" si="1817">(Z1513-Z1512)*1</f>
        <v>106</v>
      </c>
      <c r="G1512" s="79">
        <f t="shared" ref="G1512" si="1818">C1512+D1512+F1512+E1512</f>
        <v>6267.9999999999927</v>
      </c>
      <c r="H1512" s="199">
        <v>5430</v>
      </c>
      <c r="I1512" s="199">
        <v>894</v>
      </c>
      <c r="J1512" s="200">
        <f t="shared" si="1773"/>
        <v>6324</v>
      </c>
      <c r="K1512" s="201">
        <f t="shared" si="1774"/>
        <v>56.000000000007276</v>
      </c>
      <c r="L1512" s="276">
        <v>514</v>
      </c>
      <c r="M1512" s="249">
        <v>0.42708333333333331</v>
      </c>
      <c r="N1512" s="235">
        <v>231187</v>
      </c>
      <c r="O1512" s="235">
        <v>114787</v>
      </c>
      <c r="P1512" s="235">
        <v>11195</v>
      </c>
      <c r="Q1512" s="235"/>
      <c r="R1512" s="235">
        <v>47296</v>
      </c>
      <c r="S1512" s="236">
        <v>2066.1</v>
      </c>
      <c r="T1512" s="236"/>
      <c r="U1512" s="236"/>
      <c r="V1512" s="235">
        <v>335874</v>
      </c>
      <c r="W1512" s="235">
        <v>132687</v>
      </c>
      <c r="X1512" s="235">
        <v>118494</v>
      </c>
      <c r="Y1512" s="235">
        <v>92778</v>
      </c>
      <c r="Z1512" s="235">
        <v>226388</v>
      </c>
    </row>
    <row r="1513" spans="1:26" ht="18" hidden="1" customHeight="1" x14ac:dyDescent="0.2">
      <c r="A1513" s="279">
        <f t="shared" si="1814"/>
        <v>44364</v>
      </c>
      <c r="B1513" s="280" t="s">
        <v>194</v>
      </c>
      <c r="C1513" s="48">
        <f t="shared" ref="C1513" si="1819">(V1514-V1513)*1+(W1514-W1513)*32+(X1514-X1513)*12+(Y1514-Y1513)*6</f>
        <v>2757</v>
      </c>
      <c r="D1513" s="84">
        <f t="shared" si="1693"/>
        <v>1288</v>
      </c>
      <c r="E1513" s="45">
        <f t="shared" ref="E1513" si="1820">(S1514-S1513)*80</f>
        <v>2168.0000000000291</v>
      </c>
      <c r="F1513" s="45">
        <f t="shared" ref="F1513" si="1821">(Z1514-Z1513)*1</f>
        <v>115</v>
      </c>
      <c r="G1513" s="79">
        <f t="shared" ref="G1513" si="1822">C1513+D1513+F1513+E1513</f>
        <v>6328.0000000000291</v>
      </c>
      <c r="H1513" s="199">
        <v>5549</v>
      </c>
      <c r="I1513" s="199">
        <v>981</v>
      </c>
      <c r="J1513" s="200">
        <f t="shared" si="1773"/>
        <v>6530</v>
      </c>
      <c r="K1513" s="201">
        <f t="shared" si="1774"/>
        <v>201.9999999999709</v>
      </c>
      <c r="L1513" s="276">
        <v>492</v>
      </c>
      <c r="M1513" s="249">
        <v>0.46875</v>
      </c>
      <c r="N1513" s="235">
        <v>231317</v>
      </c>
      <c r="O1513" s="235">
        <v>114818</v>
      </c>
      <c r="P1513" s="235">
        <v>11227</v>
      </c>
      <c r="Q1513" s="235"/>
      <c r="R1513" s="235">
        <v>47296</v>
      </c>
      <c r="S1513" s="236">
        <v>2092.6999999999998</v>
      </c>
      <c r="T1513" s="236"/>
      <c r="U1513" s="236"/>
      <c r="V1513" s="235">
        <v>336152</v>
      </c>
      <c r="W1513" s="235">
        <v>132738</v>
      </c>
      <c r="X1513" s="235">
        <v>118563</v>
      </c>
      <c r="Y1513" s="235">
        <v>92778</v>
      </c>
      <c r="Z1513" s="235">
        <v>226494</v>
      </c>
    </row>
    <row r="1514" spans="1:26" ht="18" hidden="1" customHeight="1" x14ac:dyDescent="0.2">
      <c r="A1514" s="279">
        <f t="shared" si="1814"/>
        <v>44365</v>
      </c>
      <c r="B1514" s="278" t="s">
        <v>189</v>
      </c>
      <c r="C1514" s="48">
        <f t="shared" ref="C1514:C1516" si="1823">(V1515-V1514)*1+(W1515-W1514)*32+(X1515-X1514)*12+(Y1515-Y1514)*6</f>
        <v>0</v>
      </c>
      <c r="D1514" s="84">
        <f t="shared" si="1693"/>
        <v>0</v>
      </c>
      <c r="E1514" s="45">
        <f t="shared" ref="E1514:E1516" si="1824">(S1515-S1514)*80</f>
        <v>0</v>
      </c>
      <c r="F1514" s="45">
        <f t="shared" ref="F1514:F1516" si="1825">(Z1515-Z1514)*1</f>
        <v>0</v>
      </c>
      <c r="G1514" s="79">
        <f t="shared" ref="G1514:G1516" si="1826">C1514+D1514+F1514+E1514</f>
        <v>0</v>
      </c>
      <c r="H1514" s="199">
        <v>4993</v>
      </c>
      <c r="I1514" s="199">
        <v>932</v>
      </c>
      <c r="J1514" s="200">
        <f t="shared" si="1773"/>
        <v>5925</v>
      </c>
      <c r="K1514" s="201">
        <f t="shared" si="1774"/>
        <v>5925</v>
      </c>
      <c r="L1514" s="276">
        <v>491</v>
      </c>
      <c r="M1514" s="249">
        <v>0.39583333333333331</v>
      </c>
      <c r="N1514" s="235">
        <v>231447</v>
      </c>
      <c r="O1514" s="235">
        <v>114870</v>
      </c>
      <c r="P1514" s="235">
        <v>11258</v>
      </c>
      <c r="Q1514" s="235"/>
      <c r="R1514" s="235">
        <v>47296</v>
      </c>
      <c r="S1514" s="236">
        <v>2119.8000000000002</v>
      </c>
      <c r="T1514" s="236"/>
      <c r="U1514" s="236"/>
      <c r="V1514" s="235">
        <v>336441</v>
      </c>
      <c r="W1514" s="235">
        <v>132790</v>
      </c>
      <c r="X1514" s="235">
        <v>118630</v>
      </c>
      <c r="Y1514" s="235">
        <v>92778</v>
      </c>
      <c r="Z1514" s="235">
        <v>226609</v>
      </c>
    </row>
    <row r="1515" spans="1:26" ht="18" hidden="1" customHeight="1" x14ac:dyDescent="0.2">
      <c r="A1515" s="279">
        <f t="shared" si="1814"/>
        <v>44366</v>
      </c>
      <c r="B1515" s="279" t="s">
        <v>195</v>
      </c>
      <c r="C1515" s="48">
        <f t="shared" si="1823"/>
        <v>0</v>
      </c>
      <c r="D1515" s="84">
        <f t="shared" si="1693"/>
        <v>0</v>
      </c>
      <c r="E1515" s="45">
        <f t="shared" si="1824"/>
        <v>0</v>
      </c>
      <c r="F1515" s="45">
        <f t="shared" si="1825"/>
        <v>0</v>
      </c>
      <c r="G1515" s="79">
        <f t="shared" si="1826"/>
        <v>0</v>
      </c>
      <c r="H1515" s="199">
        <v>0</v>
      </c>
      <c r="I1515" s="199">
        <f>3208+750</f>
        <v>3958</v>
      </c>
      <c r="J1515" s="200">
        <f t="shared" si="1773"/>
        <v>3958</v>
      </c>
      <c r="K1515" s="201">
        <f t="shared" si="1774"/>
        <v>3958</v>
      </c>
      <c r="L1515" s="276">
        <v>278</v>
      </c>
      <c r="M1515" s="249">
        <v>0.44791666666666669</v>
      </c>
      <c r="N1515" s="153">
        <v>231447</v>
      </c>
      <c r="O1515" s="153">
        <v>114870</v>
      </c>
      <c r="P1515" s="153">
        <v>11258</v>
      </c>
      <c r="Q1515" s="153"/>
      <c r="R1515" s="153">
        <v>47296</v>
      </c>
      <c r="S1515" s="154">
        <v>2119.8000000000002</v>
      </c>
      <c r="T1515" s="154"/>
      <c r="U1515" s="154"/>
      <c r="V1515" s="153">
        <v>336441</v>
      </c>
      <c r="W1515" s="153">
        <v>132790</v>
      </c>
      <c r="X1515" s="153">
        <v>118630</v>
      </c>
      <c r="Y1515" s="153">
        <v>92778</v>
      </c>
      <c r="Z1515" s="153">
        <v>226609</v>
      </c>
    </row>
    <row r="1516" spans="1:26" ht="18" hidden="1" customHeight="1" x14ac:dyDescent="0.2">
      <c r="A1516" s="279">
        <f t="shared" si="1814"/>
        <v>44367</v>
      </c>
      <c r="B1516" s="278" t="s">
        <v>190</v>
      </c>
      <c r="C1516" s="48">
        <f t="shared" si="1823"/>
        <v>5892</v>
      </c>
      <c r="D1516" s="84">
        <f t="shared" si="1693"/>
        <v>2152</v>
      </c>
      <c r="E1516" s="45">
        <f t="shared" si="1824"/>
        <v>1983.9999999999782</v>
      </c>
      <c r="F1516" s="45">
        <f t="shared" si="1825"/>
        <v>308</v>
      </c>
      <c r="G1516" s="79">
        <f t="shared" si="1826"/>
        <v>10335.999999999978</v>
      </c>
      <c r="H1516" s="199">
        <v>0</v>
      </c>
      <c r="I1516" s="199">
        <v>1271</v>
      </c>
      <c r="J1516" s="200">
        <f t="shared" si="1773"/>
        <v>1271</v>
      </c>
      <c r="K1516" s="201">
        <f t="shared" si="1774"/>
        <v>-9064.9999999999782</v>
      </c>
      <c r="L1516" s="276">
        <v>83</v>
      </c>
      <c r="M1516" s="249">
        <v>0.85416666666666663</v>
      </c>
      <c r="N1516" s="153">
        <v>231447</v>
      </c>
      <c r="O1516" s="153">
        <v>114870</v>
      </c>
      <c r="P1516" s="153">
        <v>11258</v>
      </c>
      <c r="Q1516" s="153"/>
      <c r="R1516" s="153">
        <v>47296</v>
      </c>
      <c r="S1516" s="154">
        <v>2119.8000000000002</v>
      </c>
      <c r="T1516" s="154"/>
      <c r="U1516" s="154"/>
      <c r="V1516" s="153">
        <v>336441</v>
      </c>
      <c r="W1516" s="153">
        <v>132790</v>
      </c>
      <c r="X1516" s="153">
        <v>118630</v>
      </c>
      <c r="Y1516" s="153">
        <v>92778</v>
      </c>
      <c r="Z1516" s="153">
        <v>226609</v>
      </c>
    </row>
    <row r="1517" spans="1:26" ht="18" hidden="1" customHeight="1" x14ac:dyDescent="0.2">
      <c r="A1517" s="279">
        <f t="shared" si="1814"/>
        <v>44368</v>
      </c>
      <c r="B1517" s="280" t="s">
        <v>191</v>
      </c>
      <c r="C1517" s="48">
        <f t="shared" ref="C1517" si="1827">(V1518-V1517)*1+(W1518-W1517)*32+(X1518-X1517)*12+(Y1518-Y1517)*6</f>
        <v>2767</v>
      </c>
      <c r="D1517" s="84">
        <f t="shared" si="1693"/>
        <v>1528</v>
      </c>
      <c r="E1517" s="45">
        <f t="shared" ref="E1517" si="1828">(S1518-S1517)*80</f>
        <v>1967.9999999999927</v>
      </c>
      <c r="F1517" s="45">
        <f t="shared" ref="F1517" si="1829">(Z1518-Z1517)*1</f>
        <v>91</v>
      </c>
      <c r="G1517" s="79">
        <f t="shared" ref="G1517" si="1830">C1517+D1517+F1517+E1517</f>
        <v>6353.9999999999927</v>
      </c>
      <c r="H1517" s="199">
        <v>5567</v>
      </c>
      <c r="I1517" s="199">
        <v>659</v>
      </c>
      <c r="J1517" s="200">
        <f t="shared" si="1773"/>
        <v>6226</v>
      </c>
      <c r="K1517" s="201">
        <f t="shared" si="1774"/>
        <v>-127.99999999999272</v>
      </c>
      <c r="L1517" s="276">
        <v>508</v>
      </c>
      <c r="M1517" s="249">
        <v>0.4375</v>
      </c>
      <c r="N1517" s="235">
        <v>231637</v>
      </c>
      <c r="O1517" s="235">
        <v>114946</v>
      </c>
      <c r="P1517" s="235">
        <v>11337</v>
      </c>
      <c r="Q1517" s="235"/>
      <c r="R1517" s="235">
        <v>47296</v>
      </c>
      <c r="S1517" s="236">
        <v>2144.6</v>
      </c>
      <c r="T1517" s="236"/>
      <c r="U1517" s="236"/>
      <c r="V1517" s="235">
        <v>337217</v>
      </c>
      <c r="W1517" s="235">
        <v>132900</v>
      </c>
      <c r="X1517" s="235">
        <v>118763</v>
      </c>
      <c r="Y1517" s="235">
        <v>92778</v>
      </c>
      <c r="Z1517" s="235">
        <v>226917</v>
      </c>
    </row>
    <row r="1518" spans="1:26" ht="18" hidden="1" customHeight="1" x14ac:dyDescent="0.2">
      <c r="A1518" s="279">
        <f t="shared" si="1814"/>
        <v>44369</v>
      </c>
      <c r="B1518" s="280" t="s">
        <v>192</v>
      </c>
      <c r="C1518" s="48">
        <f t="shared" ref="C1518" si="1831">(V1519-V1518)*1+(W1519-W1518)*32+(X1519-X1518)*12+(Y1519-Y1518)*6</f>
        <v>2890</v>
      </c>
      <c r="D1518" s="84">
        <f t="shared" si="1693"/>
        <v>1568</v>
      </c>
      <c r="E1518" s="45">
        <f t="shared" ref="E1518" si="1832">(S1519-S1518)*80</f>
        <v>2040</v>
      </c>
      <c r="F1518" s="45">
        <f t="shared" ref="F1518" si="1833">(Z1519-Z1518)*1</f>
        <v>85</v>
      </c>
      <c r="G1518" s="79">
        <f t="shared" ref="G1518" si="1834">C1518+D1518+F1518+E1518</f>
        <v>6583</v>
      </c>
      <c r="H1518" s="199">
        <v>5682</v>
      </c>
      <c r="I1518" s="199">
        <v>1028</v>
      </c>
      <c r="J1518" s="200">
        <f t="shared" si="1773"/>
        <v>6710</v>
      </c>
      <c r="K1518" s="201">
        <f t="shared" si="1774"/>
        <v>127</v>
      </c>
      <c r="L1518" s="276">
        <v>500</v>
      </c>
      <c r="M1518" s="249">
        <v>0.40625</v>
      </c>
      <c r="N1518" s="235">
        <v>231777</v>
      </c>
      <c r="O1518" s="235">
        <v>114999</v>
      </c>
      <c r="P1518" s="235">
        <v>11388</v>
      </c>
      <c r="Q1518" s="235"/>
      <c r="R1518" s="235">
        <v>47296</v>
      </c>
      <c r="S1518" s="236">
        <v>2169.1999999999998</v>
      </c>
      <c r="T1518" s="236"/>
      <c r="U1518" s="236"/>
      <c r="V1518" s="235">
        <v>337488</v>
      </c>
      <c r="W1518" s="235">
        <v>132951</v>
      </c>
      <c r="X1518" s="235">
        <v>118835</v>
      </c>
      <c r="Y1518" s="235">
        <v>92778</v>
      </c>
      <c r="Z1518" s="235">
        <v>227008</v>
      </c>
    </row>
    <row r="1519" spans="1:26" ht="18" hidden="1" customHeight="1" x14ac:dyDescent="0.2">
      <c r="A1519" s="279">
        <f t="shared" si="1814"/>
        <v>44370</v>
      </c>
      <c r="B1519" s="280" t="s">
        <v>193</v>
      </c>
      <c r="C1519" s="48">
        <f t="shared" ref="C1519" si="1835">(V1520-V1519)*1+(W1520-W1519)*32+(X1520-X1519)*12+(Y1520-Y1519)*6</f>
        <v>2759</v>
      </c>
      <c r="D1519" s="84">
        <f t="shared" si="1693"/>
        <v>1688</v>
      </c>
      <c r="E1519" s="45">
        <f t="shared" ref="E1519" si="1836">(S1520-S1519)*80</f>
        <v>1968.0000000000291</v>
      </c>
      <c r="F1519" s="45">
        <f t="shared" ref="F1519" si="1837">(Z1520-Z1519)*1</f>
        <v>89</v>
      </c>
      <c r="G1519" s="79">
        <f t="shared" ref="G1519" si="1838">C1519+D1519+F1519+E1519</f>
        <v>6504.0000000000291</v>
      </c>
      <c r="H1519" s="199">
        <v>5446</v>
      </c>
      <c r="I1519" s="199">
        <v>1091</v>
      </c>
      <c r="J1519" s="200">
        <f t="shared" si="1773"/>
        <v>6537</v>
      </c>
      <c r="K1519" s="201">
        <f t="shared" si="1774"/>
        <v>32.999999999970896</v>
      </c>
      <c r="L1519" s="276">
        <v>487</v>
      </c>
      <c r="M1519" s="249">
        <v>0.625</v>
      </c>
      <c r="N1519" s="235">
        <v>231917</v>
      </c>
      <c r="O1519" s="235">
        <v>115054</v>
      </c>
      <c r="P1519" s="235">
        <v>11444</v>
      </c>
      <c r="Q1519" s="235"/>
      <c r="R1519" s="235">
        <v>47296</v>
      </c>
      <c r="S1519" s="236">
        <v>2194.6999999999998</v>
      </c>
      <c r="T1519" s="236"/>
      <c r="U1519" s="236"/>
      <c r="V1519" s="235">
        <v>337722</v>
      </c>
      <c r="W1519" s="235">
        <v>133004</v>
      </c>
      <c r="X1519" s="235">
        <v>118915</v>
      </c>
      <c r="Y1519" s="235">
        <v>92778</v>
      </c>
      <c r="Z1519" s="235">
        <v>227093</v>
      </c>
    </row>
    <row r="1520" spans="1:26" ht="18" hidden="1" customHeight="1" x14ac:dyDescent="0.2">
      <c r="A1520" s="279">
        <f t="shared" si="1814"/>
        <v>44371</v>
      </c>
      <c r="B1520" s="280" t="s">
        <v>194</v>
      </c>
      <c r="C1520" s="48">
        <f t="shared" ref="C1520" si="1839">(V1521-V1520)*1+(W1521-W1520)*32+(X1521-X1520)*12+(Y1521-Y1520)*6</f>
        <v>2784</v>
      </c>
      <c r="D1520" s="84">
        <f t="shared" si="1693"/>
        <v>1616</v>
      </c>
      <c r="E1520" s="45">
        <f t="shared" ref="E1520" si="1840">(S1521-S1520)*80</f>
        <v>1880</v>
      </c>
      <c r="F1520" s="45">
        <f t="shared" ref="F1520" si="1841">(Z1521-Z1520)*1</f>
        <v>69</v>
      </c>
      <c r="G1520" s="79">
        <f t="shared" ref="G1520" si="1842">C1520+D1520+F1520+E1520</f>
        <v>6349</v>
      </c>
      <c r="H1520" s="199">
        <v>5521</v>
      </c>
      <c r="I1520" s="199">
        <v>1116</v>
      </c>
      <c r="J1520" s="200">
        <f t="shared" si="1773"/>
        <v>6637</v>
      </c>
      <c r="K1520" s="201">
        <f t="shared" si="1774"/>
        <v>288</v>
      </c>
      <c r="L1520" s="276">
        <v>491</v>
      </c>
      <c r="M1520" s="249">
        <v>0.45833333333333331</v>
      </c>
      <c r="N1520" s="235">
        <v>232067</v>
      </c>
      <c r="O1520" s="235">
        <v>115018</v>
      </c>
      <c r="P1520" s="235">
        <v>11505</v>
      </c>
      <c r="Q1520" s="235"/>
      <c r="R1520" s="235">
        <v>47296</v>
      </c>
      <c r="S1520" s="236">
        <v>2219.3000000000002</v>
      </c>
      <c r="T1520" s="236"/>
      <c r="U1520" s="236"/>
      <c r="V1520" s="235">
        <v>337937</v>
      </c>
      <c r="W1520" s="235">
        <v>133052</v>
      </c>
      <c r="X1520" s="235">
        <v>118999</v>
      </c>
      <c r="Y1520" s="235">
        <v>92778</v>
      </c>
      <c r="Z1520" s="235">
        <v>227182</v>
      </c>
    </row>
    <row r="1521" spans="1:26" ht="18" hidden="1" customHeight="1" x14ac:dyDescent="0.2">
      <c r="A1521" s="279">
        <f t="shared" si="1814"/>
        <v>44372</v>
      </c>
      <c r="B1521" s="278" t="s">
        <v>189</v>
      </c>
      <c r="C1521" s="48">
        <f t="shared" ref="C1521:C1523" si="1843">(V1522-V1521)*1+(W1522-W1521)*32+(X1522-X1521)*12+(Y1522-Y1521)*6</f>
        <v>0</v>
      </c>
      <c r="D1521" s="84">
        <f t="shared" si="1693"/>
        <v>0</v>
      </c>
      <c r="E1521" s="45">
        <f t="shared" ref="E1521:E1523" si="1844">(S1522-S1521)*80</f>
        <v>0</v>
      </c>
      <c r="F1521" s="45">
        <f t="shared" ref="F1521:F1523" si="1845">(Z1522-Z1521)*1</f>
        <v>0</v>
      </c>
      <c r="G1521" s="79">
        <f t="shared" ref="G1521:G1523" si="1846">C1521+D1521+F1521+E1521</f>
        <v>0</v>
      </c>
      <c r="H1521" s="199">
        <v>5410</v>
      </c>
      <c r="I1521" s="199">
        <v>1096</v>
      </c>
      <c r="J1521" s="200">
        <f t="shared" si="1773"/>
        <v>6506</v>
      </c>
      <c r="K1521" s="201">
        <f t="shared" si="1774"/>
        <v>6506</v>
      </c>
      <c r="L1521" s="276">
        <v>511</v>
      </c>
      <c r="M1521" s="249">
        <v>0.42708333333333331</v>
      </c>
      <c r="N1521" s="235">
        <v>232207</v>
      </c>
      <c r="O1521" s="235">
        <v>115166</v>
      </c>
      <c r="P1521" s="235">
        <v>11567</v>
      </c>
      <c r="Q1521" s="235"/>
      <c r="R1521" s="235">
        <v>47296</v>
      </c>
      <c r="S1521" s="236">
        <v>2242.8000000000002</v>
      </c>
      <c r="T1521" s="236"/>
      <c r="U1521" s="236"/>
      <c r="V1521" s="235">
        <v>338137</v>
      </c>
      <c r="W1521" s="235">
        <v>133102</v>
      </c>
      <c r="X1521" s="235">
        <v>119081</v>
      </c>
      <c r="Y1521" s="235">
        <v>92778</v>
      </c>
      <c r="Z1521" s="235">
        <v>227251</v>
      </c>
    </row>
    <row r="1522" spans="1:26" ht="18" hidden="1" customHeight="1" x14ac:dyDescent="0.2">
      <c r="A1522" s="279">
        <f t="shared" si="1814"/>
        <v>44373</v>
      </c>
      <c r="B1522" s="279" t="s">
        <v>195</v>
      </c>
      <c r="C1522" s="48">
        <f t="shared" si="1843"/>
        <v>0</v>
      </c>
      <c r="D1522" s="84">
        <f t="shared" si="1693"/>
        <v>0</v>
      </c>
      <c r="E1522" s="45">
        <f t="shared" si="1844"/>
        <v>0</v>
      </c>
      <c r="F1522" s="45">
        <f t="shared" si="1845"/>
        <v>0</v>
      </c>
      <c r="G1522" s="79">
        <f t="shared" si="1846"/>
        <v>0</v>
      </c>
      <c r="H1522" s="199">
        <v>0</v>
      </c>
      <c r="I1522" s="199">
        <f>3020+826</f>
        <v>3846</v>
      </c>
      <c r="J1522" s="200">
        <f t="shared" si="1773"/>
        <v>3846</v>
      </c>
      <c r="K1522" s="201">
        <f t="shared" si="1774"/>
        <v>3846</v>
      </c>
      <c r="L1522" s="276">
        <v>282</v>
      </c>
      <c r="M1522" s="249">
        <v>0.40625</v>
      </c>
      <c r="N1522" s="153">
        <v>232207</v>
      </c>
      <c r="O1522" s="153">
        <v>115166</v>
      </c>
      <c r="P1522" s="153">
        <v>11567</v>
      </c>
      <c r="Q1522" s="153"/>
      <c r="R1522" s="153">
        <v>47296</v>
      </c>
      <c r="S1522" s="154">
        <v>2242.8000000000002</v>
      </c>
      <c r="T1522" s="154"/>
      <c r="U1522" s="154"/>
      <c r="V1522" s="153">
        <v>338137</v>
      </c>
      <c r="W1522" s="153">
        <v>133102</v>
      </c>
      <c r="X1522" s="153">
        <v>119081</v>
      </c>
      <c r="Y1522" s="153">
        <v>92778</v>
      </c>
      <c r="Z1522" s="153">
        <v>227251</v>
      </c>
    </row>
    <row r="1523" spans="1:26" ht="18" hidden="1" customHeight="1" x14ac:dyDescent="0.2">
      <c r="A1523" s="279">
        <f t="shared" si="1814"/>
        <v>44374</v>
      </c>
      <c r="B1523" s="278" t="s">
        <v>190</v>
      </c>
      <c r="C1523" s="48">
        <f t="shared" si="1843"/>
        <v>5644</v>
      </c>
      <c r="D1523" s="84">
        <f t="shared" si="1693"/>
        <v>3207</v>
      </c>
      <c r="E1523" s="45">
        <f t="shared" si="1844"/>
        <v>2343.9999999999782</v>
      </c>
      <c r="F1523" s="45">
        <f t="shared" si="1845"/>
        <v>266</v>
      </c>
      <c r="G1523" s="79">
        <f t="shared" si="1846"/>
        <v>11460.999999999978</v>
      </c>
      <c r="H1523" s="199">
        <v>0</v>
      </c>
      <c r="I1523" s="199">
        <v>1785</v>
      </c>
      <c r="J1523" s="200">
        <f t="shared" si="1773"/>
        <v>1785</v>
      </c>
      <c r="K1523" s="201">
        <f t="shared" si="1774"/>
        <v>-9675.9999999999782</v>
      </c>
      <c r="L1523" s="276">
        <v>115</v>
      </c>
      <c r="M1523" s="249">
        <v>0.85416666666666663</v>
      </c>
      <c r="N1523" s="153">
        <v>232207</v>
      </c>
      <c r="O1523" s="153">
        <v>115166</v>
      </c>
      <c r="P1523" s="153">
        <v>11567</v>
      </c>
      <c r="Q1523" s="153"/>
      <c r="R1523" s="153">
        <v>47296</v>
      </c>
      <c r="S1523" s="154">
        <v>2242.8000000000002</v>
      </c>
      <c r="T1523" s="154"/>
      <c r="U1523" s="154"/>
      <c r="V1523" s="153">
        <v>338137</v>
      </c>
      <c r="W1523" s="153">
        <v>133102</v>
      </c>
      <c r="X1523" s="153">
        <v>119081</v>
      </c>
      <c r="Y1523" s="153">
        <v>92778</v>
      </c>
      <c r="Z1523" s="153">
        <v>227251</v>
      </c>
    </row>
    <row r="1524" spans="1:26" ht="18" hidden="1" customHeight="1" x14ac:dyDescent="0.2">
      <c r="A1524" s="279">
        <f t="shared" si="1814"/>
        <v>44375</v>
      </c>
      <c r="B1524" s="280" t="s">
        <v>191</v>
      </c>
      <c r="C1524" s="48">
        <f t="shared" ref="C1524" si="1847">(V1525-V1524)*1+(W1525-W1524)*32+(X1525-X1524)*12+(Y1525-Y1524)*6</f>
        <v>2764</v>
      </c>
      <c r="D1524" s="84">
        <f t="shared" si="1693"/>
        <v>1593</v>
      </c>
      <c r="E1524" s="45">
        <f t="shared" ref="E1524" si="1848">(S1525-S1524)*80</f>
        <v>2016.0000000000218</v>
      </c>
      <c r="F1524" s="45">
        <f t="shared" ref="F1524" si="1849">(Z1525-Z1524)*1</f>
        <v>98</v>
      </c>
      <c r="G1524" s="79">
        <f t="shared" ref="G1524" si="1850">C1524+D1524+F1524+E1524</f>
        <v>6471.0000000000218</v>
      </c>
      <c r="H1524" s="199">
        <v>5525</v>
      </c>
      <c r="I1524" s="199">
        <v>882</v>
      </c>
      <c r="J1524" s="200">
        <f t="shared" si="1773"/>
        <v>6407</v>
      </c>
      <c r="K1524" s="201">
        <f t="shared" si="1774"/>
        <v>-64.000000000021828</v>
      </c>
      <c r="L1524" s="276">
        <v>508</v>
      </c>
      <c r="M1524" s="249">
        <v>0.65625</v>
      </c>
      <c r="N1524" s="235">
        <v>232487</v>
      </c>
      <c r="O1524" s="235">
        <v>115273</v>
      </c>
      <c r="P1524" s="235">
        <v>11688</v>
      </c>
      <c r="Q1524" s="235"/>
      <c r="R1524" s="235">
        <v>47295</v>
      </c>
      <c r="S1524" s="236">
        <v>2272.1</v>
      </c>
      <c r="T1524" s="236"/>
      <c r="U1524" s="236"/>
      <c r="V1524" s="235">
        <v>338741</v>
      </c>
      <c r="W1524" s="235">
        <v>133207</v>
      </c>
      <c r="X1524" s="235">
        <v>119221</v>
      </c>
      <c r="Y1524" s="235">
        <v>92778</v>
      </c>
      <c r="Z1524" s="235">
        <v>227517</v>
      </c>
    </row>
    <row r="1525" spans="1:26" ht="18" hidden="1" customHeight="1" x14ac:dyDescent="0.2">
      <c r="A1525" s="279">
        <f t="shared" si="1814"/>
        <v>44376</v>
      </c>
      <c r="B1525" s="280" t="s">
        <v>192</v>
      </c>
      <c r="C1525" s="48">
        <f t="shared" ref="C1525" si="1851">(V1526-V1525)*1+(W1526-W1525)*32+(X1526-X1525)*12+(Y1526-Y1525)*6</f>
        <v>2699</v>
      </c>
      <c r="D1525" s="84">
        <f t="shared" si="1693"/>
        <v>1544</v>
      </c>
      <c r="E1525" s="45">
        <f t="shared" ref="E1525" si="1852">(S1526-S1525)*80</f>
        <v>2127.9999999999927</v>
      </c>
      <c r="F1525" s="45">
        <f t="shared" ref="F1525" si="1853">(Z1526-Z1525)*1</f>
        <v>64</v>
      </c>
      <c r="G1525" s="79">
        <f t="shared" ref="G1525" si="1854">C1525+D1525+F1525+E1525</f>
        <v>6434.9999999999927</v>
      </c>
      <c r="H1525" s="199">
        <v>5705</v>
      </c>
      <c r="I1525" s="199">
        <v>1069</v>
      </c>
      <c r="J1525" s="200">
        <f t="shared" si="1773"/>
        <v>6774</v>
      </c>
      <c r="K1525" s="201">
        <f t="shared" si="1774"/>
        <v>339.00000000000728</v>
      </c>
      <c r="L1525" s="276">
        <v>500</v>
      </c>
      <c r="M1525" s="249">
        <v>0.39583333333333331</v>
      </c>
      <c r="N1525" s="235">
        <v>232637</v>
      </c>
      <c r="O1525" s="235">
        <v>115329</v>
      </c>
      <c r="P1525" s="235">
        <v>11737</v>
      </c>
      <c r="Q1525" s="235"/>
      <c r="R1525" s="235">
        <v>47296</v>
      </c>
      <c r="S1525" s="236">
        <v>2297.3000000000002</v>
      </c>
      <c r="T1525" s="236"/>
      <c r="U1525" s="236"/>
      <c r="V1525" s="235">
        <v>338969</v>
      </c>
      <c r="W1525" s="235">
        <v>133257</v>
      </c>
      <c r="X1525" s="235">
        <v>119299</v>
      </c>
      <c r="Y1525" s="235">
        <v>92778</v>
      </c>
      <c r="Z1525" s="235">
        <v>227615</v>
      </c>
    </row>
    <row r="1526" spans="1:26" ht="18" hidden="1" customHeight="1" x14ac:dyDescent="0.2">
      <c r="A1526" s="279">
        <f t="shared" si="1814"/>
        <v>44377</v>
      </c>
      <c r="B1526" s="280" t="s">
        <v>193</v>
      </c>
      <c r="C1526" s="48">
        <f t="shared" ref="C1526" si="1855">(V1527-V1526)*1+(W1527-W1526)*32+(X1527-X1526)*12+(Y1527-Y1526)*6</f>
        <v>2452</v>
      </c>
      <c r="D1526" s="84">
        <f t="shared" si="1693"/>
        <v>1896</v>
      </c>
      <c r="E1526" s="45">
        <f t="shared" ref="E1526" si="1856">(S1527-S1526)*80</f>
        <v>2135.9999999999854</v>
      </c>
      <c r="F1526" s="45">
        <f t="shared" ref="F1526" si="1857">(Z1527-Z1526)*1</f>
        <v>75</v>
      </c>
      <c r="G1526" s="79">
        <f t="shared" ref="G1526" si="1858">C1526+D1526+F1526+E1526</f>
        <v>6558.9999999999854</v>
      </c>
      <c r="H1526" s="199">
        <v>5462</v>
      </c>
      <c r="I1526" s="199">
        <v>1135</v>
      </c>
      <c r="J1526" s="200">
        <f t="shared" si="1773"/>
        <v>6597</v>
      </c>
      <c r="K1526" s="201">
        <f t="shared" si="1774"/>
        <v>38.000000000014552</v>
      </c>
      <c r="L1526" s="276">
        <v>529</v>
      </c>
      <c r="M1526" s="249">
        <v>0.38541666666666669</v>
      </c>
      <c r="N1526" s="235">
        <v>232787</v>
      </c>
      <c r="O1526" s="235">
        <v>115391</v>
      </c>
      <c r="P1526" s="235">
        <v>11780</v>
      </c>
      <c r="Q1526" s="235"/>
      <c r="R1526" s="235">
        <v>47296</v>
      </c>
      <c r="S1526" s="236">
        <v>2323.9</v>
      </c>
      <c r="T1526" s="236"/>
      <c r="U1526" s="236"/>
      <c r="V1526" s="235">
        <v>339212</v>
      </c>
      <c r="W1526" s="235">
        <v>133309</v>
      </c>
      <c r="X1526" s="235">
        <v>119365</v>
      </c>
      <c r="Y1526" s="235">
        <v>92778</v>
      </c>
      <c r="Z1526" s="235">
        <v>227679</v>
      </c>
    </row>
    <row r="1527" spans="1:26" ht="18" hidden="1" customHeight="1" thickTop="1" x14ac:dyDescent="0.2">
      <c r="A1527" s="279">
        <f t="shared" si="1814"/>
        <v>44378</v>
      </c>
      <c r="B1527" s="280" t="s">
        <v>194</v>
      </c>
      <c r="C1527" s="48">
        <f t="shared" ref="C1527" si="1859">(V1528-V1527)*1+(W1528-W1527)*32+(X1528-X1527)*12+(Y1528-Y1527)*6</f>
        <v>2682</v>
      </c>
      <c r="D1527" s="84">
        <f t="shared" si="1693"/>
        <v>1872</v>
      </c>
      <c r="E1527" s="45">
        <f t="shared" ref="E1527" si="1860">(S1528-S1527)*80</f>
        <v>2176.0000000000218</v>
      </c>
      <c r="F1527" s="45">
        <f t="shared" ref="F1527" si="1861">(Z1528-Z1527)*1</f>
        <v>75</v>
      </c>
      <c r="G1527" s="79">
        <f t="shared" ref="G1527" si="1862">C1527+D1527+F1527+E1527</f>
        <v>6805.0000000000218</v>
      </c>
      <c r="H1527" s="199">
        <v>5677</v>
      </c>
      <c r="I1527" s="199">
        <v>1201</v>
      </c>
      <c r="J1527" s="200">
        <f t="shared" si="1773"/>
        <v>6878</v>
      </c>
      <c r="K1527" s="201">
        <f t="shared" si="1774"/>
        <v>72.999999999978172</v>
      </c>
      <c r="L1527" s="276">
        <v>530</v>
      </c>
      <c r="M1527" s="249">
        <v>0.65625</v>
      </c>
      <c r="N1527" s="235">
        <v>232957</v>
      </c>
      <c r="O1527" s="235">
        <v>115456</v>
      </c>
      <c r="P1527" s="235">
        <v>11847</v>
      </c>
      <c r="Q1527" s="235"/>
      <c r="R1527" s="235">
        <v>47296</v>
      </c>
      <c r="S1527" s="236">
        <v>2350.6</v>
      </c>
      <c r="T1527" s="236"/>
      <c r="U1527" s="236"/>
      <c r="V1527" s="235">
        <v>339444</v>
      </c>
      <c r="W1527" s="235">
        <v>133357</v>
      </c>
      <c r="X1527" s="235">
        <v>119422</v>
      </c>
      <c r="Y1527" s="235">
        <v>92778</v>
      </c>
      <c r="Z1527" s="235">
        <v>227754</v>
      </c>
    </row>
    <row r="1528" spans="1:26" ht="18" hidden="1" customHeight="1" x14ac:dyDescent="0.2">
      <c r="A1528" s="279">
        <f t="shared" si="1814"/>
        <v>44379</v>
      </c>
      <c r="B1528" s="278" t="s">
        <v>189</v>
      </c>
      <c r="C1528" s="48">
        <f t="shared" ref="C1528:C1530" si="1863">(V1529-V1528)*1+(W1529-W1528)*32+(X1529-X1528)*12+(Y1529-Y1528)*6</f>
        <v>0</v>
      </c>
      <c r="D1528" s="84">
        <f t="shared" si="1693"/>
        <v>0</v>
      </c>
      <c r="E1528" s="45">
        <f t="shared" ref="E1528:E1537" si="1864">(S1529-S1528)*80</f>
        <v>0</v>
      </c>
      <c r="F1528" s="45">
        <f t="shared" ref="F1528:F1530" si="1865">(Z1529-Z1528)*1</f>
        <v>0</v>
      </c>
      <c r="G1528" s="79">
        <f t="shared" ref="G1528:G1530" si="1866">C1528+D1528+F1528+E1528</f>
        <v>0</v>
      </c>
      <c r="H1528" s="199">
        <v>5717</v>
      </c>
      <c r="I1528" s="199">
        <v>1247</v>
      </c>
      <c r="J1528" s="200">
        <f t="shared" si="1773"/>
        <v>6964</v>
      </c>
      <c r="K1528" s="201">
        <f t="shared" si="1774"/>
        <v>6964</v>
      </c>
      <c r="L1528" s="276">
        <v>542</v>
      </c>
      <c r="M1528" s="249">
        <v>0.65625</v>
      </c>
      <c r="N1528" s="235">
        <v>233067</v>
      </c>
      <c r="O1528" s="235">
        <v>115495</v>
      </c>
      <c r="P1528" s="235">
        <v>11971</v>
      </c>
      <c r="Q1528" s="235"/>
      <c r="R1528" s="235">
        <v>47296</v>
      </c>
      <c r="S1528" s="236">
        <v>2377.8000000000002</v>
      </c>
      <c r="T1528" s="236"/>
      <c r="U1528" s="236"/>
      <c r="V1528" s="235">
        <v>339682</v>
      </c>
      <c r="W1528" s="235">
        <v>133409</v>
      </c>
      <c r="X1528" s="235">
        <v>119487</v>
      </c>
      <c r="Y1528" s="235">
        <v>92778</v>
      </c>
      <c r="Z1528" s="235">
        <v>227829</v>
      </c>
    </row>
    <row r="1529" spans="1:26" ht="18" hidden="1" customHeight="1" x14ac:dyDescent="0.2">
      <c r="A1529" s="279">
        <f t="shared" si="1814"/>
        <v>44380</v>
      </c>
      <c r="B1529" s="279" t="s">
        <v>195</v>
      </c>
      <c r="C1529" s="48">
        <f t="shared" si="1863"/>
        <v>0</v>
      </c>
      <c r="D1529" s="84">
        <f t="shared" si="1693"/>
        <v>0</v>
      </c>
      <c r="E1529" s="45">
        <f t="shared" si="1864"/>
        <v>0</v>
      </c>
      <c r="F1529" s="45">
        <f t="shared" si="1865"/>
        <v>0</v>
      </c>
      <c r="G1529" s="79">
        <f t="shared" si="1866"/>
        <v>0</v>
      </c>
      <c r="H1529" s="199">
        <v>0</v>
      </c>
      <c r="I1529" s="199">
        <f>3339+887</f>
        <v>4226</v>
      </c>
      <c r="J1529" s="200">
        <f t="shared" ref="J1529:J1557" si="1867">H1529+I1529</f>
        <v>4226</v>
      </c>
      <c r="K1529" s="201">
        <f t="shared" ref="K1529:K1557" si="1868">J1529-G1529</f>
        <v>4226</v>
      </c>
      <c r="L1529" s="276">
        <v>304</v>
      </c>
      <c r="M1529" s="249">
        <v>0.44791666666666669</v>
      </c>
      <c r="N1529" s="153">
        <v>233067</v>
      </c>
      <c r="O1529" s="153">
        <v>115495</v>
      </c>
      <c r="P1529" s="153">
        <v>11971</v>
      </c>
      <c r="Q1529" s="153"/>
      <c r="R1529" s="153">
        <v>47296</v>
      </c>
      <c r="S1529" s="154">
        <v>2377.8000000000002</v>
      </c>
      <c r="T1529" s="154"/>
      <c r="U1529" s="154"/>
      <c r="V1529" s="153">
        <v>339682</v>
      </c>
      <c r="W1529" s="153">
        <v>133409</v>
      </c>
      <c r="X1529" s="153">
        <v>119487</v>
      </c>
      <c r="Y1529" s="153">
        <v>92778</v>
      </c>
      <c r="Z1529" s="153">
        <v>227829</v>
      </c>
    </row>
    <row r="1530" spans="1:26" ht="18" hidden="1" customHeight="1" x14ac:dyDescent="0.2">
      <c r="A1530" s="279">
        <f t="shared" si="1814"/>
        <v>44381</v>
      </c>
      <c r="B1530" s="278" t="s">
        <v>190</v>
      </c>
      <c r="C1530" s="48">
        <f t="shared" si="1863"/>
        <v>5612</v>
      </c>
      <c r="D1530" s="84">
        <f t="shared" si="1693"/>
        <v>3640</v>
      </c>
      <c r="E1530" s="45">
        <f t="shared" si="1864"/>
        <v>2871.9999999999709</v>
      </c>
      <c r="F1530" s="45">
        <f t="shared" si="1865"/>
        <v>279</v>
      </c>
      <c r="G1530" s="79">
        <f t="shared" si="1866"/>
        <v>12402.999999999971</v>
      </c>
      <c r="H1530" s="199">
        <v>0</v>
      </c>
      <c r="I1530" s="199">
        <v>1982</v>
      </c>
      <c r="J1530" s="200">
        <f t="shared" si="1867"/>
        <v>1982</v>
      </c>
      <c r="K1530" s="201">
        <f t="shared" si="1868"/>
        <v>-10420.999999999971</v>
      </c>
      <c r="L1530" s="276">
        <v>123</v>
      </c>
      <c r="M1530" s="249">
        <v>0.89583333333333337</v>
      </c>
      <c r="N1530" s="153">
        <v>233067</v>
      </c>
      <c r="O1530" s="153">
        <v>115495</v>
      </c>
      <c r="P1530" s="153">
        <v>11971</v>
      </c>
      <c r="Q1530" s="153"/>
      <c r="R1530" s="153">
        <v>47296</v>
      </c>
      <c r="S1530" s="154">
        <v>2377.8000000000002</v>
      </c>
      <c r="T1530" s="154"/>
      <c r="U1530" s="154"/>
      <c r="V1530" s="153">
        <v>339682</v>
      </c>
      <c r="W1530" s="153">
        <v>133409</v>
      </c>
      <c r="X1530" s="153">
        <v>119487</v>
      </c>
      <c r="Y1530" s="153">
        <v>92778</v>
      </c>
      <c r="Z1530" s="153">
        <v>227829</v>
      </c>
    </row>
    <row r="1531" spans="1:26" ht="18" hidden="1" customHeight="1" x14ac:dyDescent="0.2">
      <c r="A1531" s="279">
        <f t="shared" si="1814"/>
        <v>44382</v>
      </c>
      <c r="B1531" s="280" t="s">
        <v>191</v>
      </c>
      <c r="C1531" s="48">
        <f t="shared" ref="C1531" si="1869">(V1532-V1531)*1+(W1532-W1531)*32+(X1532-X1531)*12+(Y1532-Y1531)*6</f>
        <v>2649</v>
      </c>
      <c r="D1531" s="84">
        <f t="shared" si="1693"/>
        <v>1744</v>
      </c>
      <c r="E1531" s="45">
        <f t="shared" si="1864"/>
        <v>2136.0000000000218</v>
      </c>
      <c r="F1531" s="45">
        <f t="shared" ref="F1531" si="1870">(Z1532-Z1531)*1</f>
        <v>103</v>
      </c>
      <c r="G1531" s="79">
        <f t="shared" ref="G1531" si="1871">C1531+D1531+F1531+E1531</f>
        <v>6632.0000000000218</v>
      </c>
      <c r="H1531" s="199">
        <v>5737</v>
      </c>
      <c r="I1531" s="199">
        <v>969</v>
      </c>
      <c r="J1531" s="200">
        <f t="shared" si="1867"/>
        <v>6706</v>
      </c>
      <c r="K1531" s="201">
        <f t="shared" si="1868"/>
        <v>73.999999999978172</v>
      </c>
      <c r="L1531" s="276">
        <v>508</v>
      </c>
      <c r="M1531" s="249">
        <v>0.625</v>
      </c>
      <c r="N1531" s="235">
        <v>233237</v>
      </c>
      <c r="O1531" s="235">
        <v>115559</v>
      </c>
      <c r="P1531" s="235">
        <v>12256</v>
      </c>
      <c r="Q1531" s="235"/>
      <c r="R1531" s="235">
        <v>47296</v>
      </c>
      <c r="S1531" s="236">
        <v>2413.6999999999998</v>
      </c>
      <c r="T1531" s="236"/>
      <c r="U1531" s="236"/>
      <c r="V1531" s="235">
        <v>340342</v>
      </c>
      <c r="W1531" s="235">
        <v>133515</v>
      </c>
      <c r="X1531" s="235">
        <v>119617</v>
      </c>
      <c r="Y1531" s="235">
        <v>92778</v>
      </c>
      <c r="Z1531" s="235">
        <v>228108</v>
      </c>
    </row>
    <row r="1532" spans="1:26" ht="18" hidden="1" customHeight="1" x14ac:dyDescent="0.2">
      <c r="A1532" s="279">
        <f t="shared" si="1814"/>
        <v>44383</v>
      </c>
      <c r="B1532" s="280" t="s">
        <v>192</v>
      </c>
      <c r="C1532" s="48">
        <f t="shared" ref="C1532" si="1872">(V1533-V1532)*1+(W1533-W1532)*32+(X1533-X1532)*12+(Y1533-Y1532)*6</f>
        <v>2718</v>
      </c>
      <c r="D1532" s="84">
        <f t="shared" si="1693"/>
        <v>1624</v>
      </c>
      <c r="E1532" s="45">
        <f t="shared" si="1864"/>
        <v>2207.9999999999927</v>
      </c>
      <c r="F1532" s="45">
        <f t="shared" ref="F1532" si="1873">(Z1533-Z1532)*1</f>
        <v>108</v>
      </c>
      <c r="G1532" s="79">
        <f t="shared" ref="G1532" si="1874">C1532+D1532+F1532+E1532</f>
        <v>6657.9999999999927</v>
      </c>
      <c r="H1532" s="199">
        <v>5646</v>
      </c>
      <c r="I1532" s="199">
        <v>1112</v>
      </c>
      <c r="J1532" s="200">
        <f t="shared" si="1867"/>
        <v>6758</v>
      </c>
      <c r="K1532" s="201">
        <f t="shared" si="1868"/>
        <v>100.00000000000728</v>
      </c>
      <c r="L1532" s="276">
        <v>508</v>
      </c>
      <c r="M1532" s="249">
        <v>0.39583333333333331</v>
      </c>
      <c r="N1532" s="235">
        <v>233337</v>
      </c>
      <c r="O1532" s="235">
        <v>115598</v>
      </c>
      <c r="P1532" s="235">
        <v>12374</v>
      </c>
      <c r="Q1532" s="235"/>
      <c r="R1532" s="235">
        <v>47296</v>
      </c>
      <c r="S1532" s="236">
        <v>2440.4</v>
      </c>
      <c r="T1532" s="236"/>
      <c r="U1532" s="236"/>
      <c r="V1532" s="235">
        <v>340571</v>
      </c>
      <c r="W1532" s="235">
        <v>133564</v>
      </c>
      <c r="X1532" s="235">
        <v>119688</v>
      </c>
      <c r="Y1532" s="235">
        <v>92778</v>
      </c>
      <c r="Z1532" s="235">
        <v>228211</v>
      </c>
    </row>
    <row r="1533" spans="1:26" ht="18" hidden="1" customHeight="1" x14ac:dyDescent="0.2">
      <c r="A1533" s="279">
        <f t="shared" si="1814"/>
        <v>44384</v>
      </c>
      <c r="B1533" s="280" t="s">
        <v>193</v>
      </c>
      <c r="C1533" s="48">
        <f t="shared" ref="C1533" si="1875">(V1534-V1533)*1+(W1534-W1533)*32+(X1534-X1533)*12+(Y1534-Y1533)*6</f>
        <v>2553</v>
      </c>
      <c r="D1533" s="84">
        <f t="shared" ref="D1533:D1596" si="1876">(N1534-N1533)*8+(P1534-P1533)*8+(R1534-R1533)*1</f>
        <v>1568</v>
      </c>
      <c r="E1533" s="45">
        <f t="shared" si="1864"/>
        <v>2072.0000000000073</v>
      </c>
      <c r="F1533" s="45">
        <f t="shared" ref="F1533" si="1877">(Z1534-Z1533)*1</f>
        <v>106</v>
      </c>
      <c r="G1533" s="79">
        <f t="shared" ref="G1533" si="1878">C1533+D1533+F1533+E1533</f>
        <v>6299.0000000000073</v>
      </c>
      <c r="H1533" s="199">
        <v>5432</v>
      </c>
      <c r="I1533" s="199">
        <v>1124</v>
      </c>
      <c r="J1533" s="200">
        <f t="shared" si="1867"/>
        <v>6556</v>
      </c>
      <c r="K1533" s="201">
        <f t="shared" si="1868"/>
        <v>256.99999999999272</v>
      </c>
      <c r="L1533" s="276">
        <v>517</v>
      </c>
      <c r="M1533" s="249">
        <v>0.45833333333333331</v>
      </c>
      <c r="N1533" s="235">
        <v>233427</v>
      </c>
      <c r="O1533" s="235">
        <v>115632</v>
      </c>
      <c r="P1533" s="235">
        <v>12487</v>
      </c>
      <c r="Q1533" s="235"/>
      <c r="R1533" s="235">
        <v>47296</v>
      </c>
      <c r="S1533" s="236">
        <v>2468</v>
      </c>
      <c r="T1533" s="236"/>
      <c r="U1533" s="236"/>
      <c r="V1533" s="235">
        <v>340801</v>
      </c>
      <c r="W1533" s="235">
        <v>133614</v>
      </c>
      <c r="X1533" s="235">
        <v>119762</v>
      </c>
      <c r="Y1533" s="235">
        <v>92778</v>
      </c>
      <c r="Z1533" s="235">
        <v>228319</v>
      </c>
    </row>
    <row r="1534" spans="1:26" ht="18" hidden="1" customHeight="1" x14ac:dyDescent="0.2">
      <c r="A1534" s="279">
        <f t="shared" si="1814"/>
        <v>44385</v>
      </c>
      <c r="B1534" s="280" t="s">
        <v>194</v>
      </c>
      <c r="C1534" s="48">
        <f t="shared" ref="C1534" si="1879">(V1535-V1534)*1+(W1535-W1534)*32+(X1535-X1534)*12+(Y1535-Y1534)*6</f>
        <v>2618</v>
      </c>
      <c r="D1534" s="84">
        <f t="shared" si="1876"/>
        <v>1496</v>
      </c>
      <c r="E1534" s="45">
        <f t="shared" si="1864"/>
        <v>2200</v>
      </c>
      <c r="F1534" s="45">
        <f t="shared" ref="F1534" si="1880">(Z1535-Z1534)*1</f>
        <v>102</v>
      </c>
      <c r="G1534" s="79">
        <f t="shared" ref="G1534" si="1881">C1534+D1534+F1534+E1534</f>
        <v>6416</v>
      </c>
      <c r="H1534" s="199">
        <v>5596</v>
      </c>
      <c r="I1534" s="199">
        <v>1070</v>
      </c>
      <c r="J1534" s="200">
        <f t="shared" si="1867"/>
        <v>6666</v>
      </c>
      <c r="K1534" s="201">
        <f t="shared" si="1868"/>
        <v>250</v>
      </c>
      <c r="L1534" s="276">
        <v>502</v>
      </c>
      <c r="M1534" s="249">
        <v>0.39583333333333331</v>
      </c>
      <c r="N1534" s="235">
        <v>233517</v>
      </c>
      <c r="O1534" s="235">
        <v>115667</v>
      </c>
      <c r="P1534" s="235">
        <v>12593</v>
      </c>
      <c r="Q1534" s="235"/>
      <c r="R1534" s="235">
        <v>47296</v>
      </c>
      <c r="S1534" s="236">
        <v>2493.9</v>
      </c>
      <c r="T1534" s="236"/>
      <c r="U1534" s="236"/>
      <c r="V1534" s="235">
        <v>341026</v>
      </c>
      <c r="W1534" s="235">
        <v>133662</v>
      </c>
      <c r="X1534" s="235">
        <v>119828</v>
      </c>
      <c r="Y1534" s="235">
        <v>92778</v>
      </c>
      <c r="Z1534" s="235">
        <v>228425</v>
      </c>
    </row>
    <row r="1535" spans="1:26" ht="18" hidden="1" customHeight="1" x14ac:dyDescent="0.2">
      <c r="A1535" s="279">
        <f t="shared" si="1814"/>
        <v>44386</v>
      </c>
      <c r="B1535" s="278" t="s">
        <v>189</v>
      </c>
      <c r="C1535" s="48">
        <f t="shared" ref="C1535:C1537" si="1882">(V1536-V1535)*1+(W1536-W1535)*32+(X1536-X1535)*12+(Y1536-Y1535)*6</f>
        <v>0</v>
      </c>
      <c r="D1535" s="84">
        <f t="shared" si="1876"/>
        <v>0</v>
      </c>
      <c r="E1535" s="45">
        <f t="shared" si="1864"/>
        <v>0</v>
      </c>
      <c r="F1535" s="45">
        <f t="shared" ref="F1535:F1537" si="1883">(Z1536-Z1535)*1</f>
        <v>0</v>
      </c>
      <c r="G1535" s="79">
        <f t="shared" ref="G1535:G1537" si="1884">C1535+D1535+F1535+E1535</f>
        <v>0</v>
      </c>
      <c r="H1535" s="199">
        <v>5454</v>
      </c>
      <c r="I1535" s="199">
        <v>1024</v>
      </c>
      <c r="J1535" s="200">
        <f t="shared" si="1867"/>
        <v>6478</v>
      </c>
      <c r="K1535" s="201">
        <f t="shared" si="1868"/>
        <v>6478</v>
      </c>
      <c r="L1535" s="276">
        <v>504</v>
      </c>
      <c r="M1535" s="249">
        <v>0.47916666666666669</v>
      </c>
      <c r="N1535" s="235">
        <v>233607</v>
      </c>
      <c r="O1535" s="235">
        <v>115707</v>
      </c>
      <c r="P1535" s="235">
        <v>12690</v>
      </c>
      <c r="Q1535" s="235"/>
      <c r="R1535" s="235">
        <v>47296</v>
      </c>
      <c r="S1535" s="236">
        <v>2521.4</v>
      </c>
      <c r="T1535" s="236"/>
      <c r="U1535" s="236"/>
      <c r="V1535" s="235">
        <v>341260</v>
      </c>
      <c r="W1535" s="235">
        <v>133711</v>
      </c>
      <c r="X1535" s="235">
        <v>119896</v>
      </c>
      <c r="Y1535" s="235">
        <v>92778</v>
      </c>
      <c r="Z1535" s="235">
        <v>228527</v>
      </c>
    </row>
    <row r="1536" spans="1:26" ht="18" hidden="1" customHeight="1" x14ac:dyDescent="0.2">
      <c r="A1536" s="279">
        <f t="shared" si="1814"/>
        <v>44387</v>
      </c>
      <c r="B1536" s="279" t="s">
        <v>195</v>
      </c>
      <c r="C1536" s="48">
        <f t="shared" si="1882"/>
        <v>0</v>
      </c>
      <c r="D1536" s="84">
        <f t="shared" si="1876"/>
        <v>0</v>
      </c>
      <c r="E1536" s="45">
        <f t="shared" si="1864"/>
        <v>0</v>
      </c>
      <c r="F1536" s="45">
        <f t="shared" si="1883"/>
        <v>0</v>
      </c>
      <c r="G1536" s="79">
        <f t="shared" si="1884"/>
        <v>0</v>
      </c>
      <c r="H1536" s="199">
        <v>0</v>
      </c>
      <c r="I1536" s="199">
        <f>1160+828</f>
        <v>1988</v>
      </c>
      <c r="J1536" s="200">
        <f t="shared" si="1867"/>
        <v>1988</v>
      </c>
      <c r="K1536" s="201">
        <f t="shared" si="1868"/>
        <v>1988</v>
      </c>
      <c r="L1536" s="276">
        <v>103</v>
      </c>
      <c r="M1536" s="249">
        <v>4.1666666666666664E-2</v>
      </c>
      <c r="N1536" s="153">
        <v>233607</v>
      </c>
      <c r="O1536" s="153">
        <v>115707</v>
      </c>
      <c r="P1536" s="153">
        <v>12690</v>
      </c>
      <c r="Q1536" s="153"/>
      <c r="R1536" s="153">
        <v>47296</v>
      </c>
      <c r="S1536" s="154">
        <v>2521.4</v>
      </c>
      <c r="T1536" s="154"/>
      <c r="U1536" s="154"/>
      <c r="V1536" s="153">
        <v>341260</v>
      </c>
      <c r="W1536" s="153">
        <v>133711</v>
      </c>
      <c r="X1536" s="153">
        <v>119896</v>
      </c>
      <c r="Y1536" s="153">
        <v>92778</v>
      </c>
      <c r="Z1536" s="153">
        <v>228527</v>
      </c>
    </row>
    <row r="1537" spans="1:26" ht="18" hidden="1" customHeight="1" x14ac:dyDescent="0.2">
      <c r="A1537" s="279">
        <f t="shared" si="1814"/>
        <v>44388</v>
      </c>
      <c r="B1537" s="278" t="s">
        <v>190</v>
      </c>
      <c r="C1537" s="48">
        <f t="shared" si="1882"/>
        <v>3639</v>
      </c>
      <c r="D1537" s="84">
        <f t="shared" si="1876"/>
        <v>3584</v>
      </c>
      <c r="E1537" s="45">
        <f t="shared" si="1864"/>
        <v>2383.9999999999782</v>
      </c>
      <c r="F1537" s="45">
        <f t="shared" si="1883"/>
        <v>334</v>
      </c>
      <c r="G1537" s="79">
        <f t="shared" si="1884"/>
        <v>9940.9999999999782</v>
      </c>
      <c r="H1537" s="199">
        <v>0</v>
      </c>
      <c r="I1537" s="199">
        <v>2012</v>
      </c>
      <c r="J1537" s="200">
        <f t="shared" si="1867"/>
        <v>2012</v>
      </c>
      <c r="K1537" s="201">
        <f t="shared" si="1868"/>
        <v>-7928.9999999999782</v>
      </c>
      <c r="L1537" s="276">
        <v>102</v>
      </c>
      <c r="M1537" s="249">
        <v>0.89583333333333337</v>
      </c>
      <c r="N1537" s="153">
        <v>233607</v>
      </c>
      <c r="O1537" s="153">
        <v>115707</v>
      </c>
      <c r="P1537" s="153">
        <v>12690</v>
      </c>
      <c r="Q1537" s="153"/>
      <c r="R1537" s="153">
        <v>47296</v>
      </c>
      <c r="S1537" s="154">
        <v>2521.4</v>
      </c>
      <c r="T1537" s="154"/>
      <c r="U1537" s="154"/>
      <c r="V1537" s="153">
        <v>341260</v>
      </c>
      <c r="W1537" s="153">
        <v>133711</v>
      </c>
      <c r="X1537" s="153">
        <v>119896</v>
      </c>
      <c r="Y1537" s="153">
        <v>92778</v>
      </c>
      <c r="Z1537" s="153">
        <v>228527</v>
      </c>
    </row>
    <row r="1538" spans="1:26" ht="18" hidden="1" customHeight="1" x14ac:dyDescent="0.2">
      <c r="A1538" s="279">
        <f t="shared" si="1814"/>
        <v>44389</v>
      </c>
      <c r="B1538" s="280" t="s">
        <v>191</v>
      </c>
      <c r="C1538" s="48">
        <f t="shared" ref="C1538" si="1885">(V1539-V1538)*1+(W1539-W1538)*32+(X1539-X1538)*12+(Y1539-Y1538)*6</f>
        <v>2756</v>
      </c>
      <c r="D1538" s="84">
        <f t="shared" si="1876"/>
        <v>1560</v>
      </c>
      <c r="E1538" s="45">
        <f t="shared" ref="E1538:E1569" si="1886">(S1539-S1538)*80+(T1539-T1538)*40</f>
        <v>2092</v>
      </c>
      <c r="F1538" s="45">
        <f t="shared" ref="F1538" si="1887">(Z1539-Z1538)*1</f>
        <v>103</v>
      </c>
      <c r="G1538" s="79">
        <f t="shared" ref="G1538" si="1888">C1538+D1538+F1538+E1538</f>
        <v>6511</v>
      </c>
      <c r="H1538" s="199">
        <v>5823</v>
      </c>
      <c r="I1538" s="199">
        <v>959</v>
      </c>
      <c r="J1538" s="200">
        <f t="shared" si="1867"/>
        <v>6782</v>
      </c>
      <c r="K1538" s="201">
        <f t="shared" si="1868"/>
        <v>271</v>
      </c>
      <c r="L1538" s="276">
        <v>531</v>
      </c>
      <c r="M1538" s="249">
        <v>0.40625</v>
      </c>
      <c r="N1538" s="235">
        <v>233807</v>
      </c>
      <c r="O1538" s="235">
        <v>115782</v>
      </c>
      <c r="P1538" s="235">
        <v>12938</v>
      </c>
      <c r="Q1538" s="235"/>
      <c r="R1538" s="235">
        <v>47296</v>
      </c>
      <c r="S1538" s="236">
        <v>2551.1999999999998</v>
      </c>
      <c r="T1538" s="236">
        <v>0</v>
      </c>
      <c r="U1538" s="236"/>
      <c r="V1538" s="235">
        <v>341859</v>
      </c>
      <c r="W1538" s="235">
        <v>133779</v>
      </c>
      <c r="X1538" s="235">
        <v>119968</v>
      </c>
      <c r="Y1538" s="235">
        <v>92778</v>
      </c>
      <c r="Z1538" s="235">
        <v>228861</v>
      </c>
    </row>
    <row r="1539" spans="1:26" ht="18" hidden="1" customHeight="1" x14ac:dyDescent="0.2">
      <c r="A1539" s="279">
        <f t="shared" si="1814"/>
        <v>44390</v>
      </c>
      <c r="B1539" s="280" t="s">
        <v>192</v>
      </c>
      <c r="C1539" s="48">
        <f t="shared" ref="C1539" si="1889">(V1540-V1539)*1+(W1540-W1539)*32+(X1540-X1539)*12+(Y1540-Y1539)*6</f>
        <v>2578</v>
      </c>
      <c r="D1539" s="84">
        <f t="shared" si="1876"/>
        <v>1592</v>
      </c>
      <c r="E1539" s="45">
        <f t="shared" si="1886"/>
        <v>1696.0000000000291</v>
      </c>
      <c r="F1539" s="45">
        <f t="shared" ref="F1539" si="1890">(Z1540-Z1539)*1</f>
        <v>117</v>
      </c>
      <c r="G1539" s="79">
        <f t="shared" ref="G1539" si="1891">C1539+D1539+F1539+E1539</f>
        <v>5983.0000000000291</v>
      </c>
      <c r="H1539" s="199">
        <v>5476</v>
      </c>
      <c r="I1539" s="199">
        <v>1072</v>
      </c>
      <c r="J1539" s="200">
        <f t="shared" si="1867"/>
        <v>6548</v>
      </c>
      <c r="K1539" s="201">
        <f t="shared" si="1868"/>
        <v>564.9999999999709</v>
      </c>
      <c r="L1539" s="276">
        <v>514</v>
      </c>
      <c r="M1539" s="249">
        <v>0.41666666666666669</v>
      </c>
      <c r="N1539" s="235">
        <v>233897</v>
      </c>
      <c r="O1539" s="235">
        <v>115819</v>
      </c>
      <c r="P1539" s="235">
        <v>13043</v>
      </c>
      <c r="Q1539" s="235"/>
      <c r="R1539" s="235">
        <v>47296</v>
      </c>
      <c r="S1539" s="236">
        <v>2573.6999999999998</v>
      </c>
      <c r="T1539" s="236">
        <v>7.3</v>
      </c>
      <c r="U1539" s="236"/>
      <c r="V1539" s="235">
        <v>342115</v>
      </c>
      <c r="W1539" s="235">
        <v>133829</v>
      </c>
      <c r="X1539" s="235">
        <v>120043</v>
      </c>
      <c r="Y1539" s="235">
        <v>92778</v>
      </c>
      <c r="Z1539" s="235">
        <v>228964</v>
      </c>
    </row>
    <row r="1540" spans="1:26" ht="18" hidden="1" customHeight="1" x14ac:dyDescent="0.2">
      <c r="A1540" s="279">
        <f t="shared" si="1814"/>
        <v>44391</v>
      </c>
      <c r="B1540" s="280" t="s">
        <v>193</v>
      </c>
      <c r="C1540" s="48">
        <f t="shared" ref="C1540" si="1892">(V1541-V1540)*1+(W1541-W1540)*32+(X1541-X1540)*12+(Y1541-Y1540)*6</f>
        <v>2743</v>
      </c>
      <c r="D1540" s="84">
        <f t="shared" si="1876"/>
        <v>1719</v>
      </c>
      <c r="E1540" s="45">
        <f t="shared" si="1886"/>
        <v>1803.9999999999709</v>
      </c>
      <c r="F1540" s="45">
        <f t="shared" ref="F1540" si="1893">(Z1541-Z1540)*1</f>
        <v>104</v>
      </c>
      <c r="G1540" s="79">
        <f t="shared" ref="G1540" si="1894">C1540+D1540+F1540+E1540</f>
        <v>6369.9999999999709</v>
      </c>
      <c r="H1540" s="199">
        <v>5662</v>
      </c>
      <c r="I1540" s="199">
        <v>1058</v>
      </c>
      <c r="J1540" s="200">
        <f t="shared" si="1867"/>
        <v>6720</v>
      </c>
      <c r="K1540" s="201">
        <f t="shared" si="1868"/>
        <v>350.0000000000291</v>
      </c>
      <c r="L1540" s="276">
        <v>514</v>
      </c>
      <c r="M1540" s="249">
        <v>0.39583333333333331</v>
      </c>
      <c r="N1540" s="235">
        <v>233997</v>
      </c>
      <c r="O1540" s="235">
        <v>115856</v>
      </c>
      <c r="P1540" s="235">
        <v>13142</v>
      </c>
      <c r="Q1540" s="235"/>
      <c r="R1540" s="235">
        <v>47296</v>
      </c>
      <c r="S1540" s="236">
        <v>2594.3000000000002</v>
      </c>
      <c r="T1540" s="236">
        <v>8.5</v>
      </c>
      <c r="U1540" s="236"/>
      <c r="V1540" s="235">
        <v>342341</v>
      </c>
      <c r="W1540" s="235">
        <v>133877</v>
      </c>
      <c r="X1540" s="235">
        <v>120111</v>
      </c>
      <c r="Y1540" s="235">
        <v>92778</v>
      </c>
      <c r="Z1540" s="235">
        <v>229081</v>
      </c>
    </row>
    <row r="1541" spans="1:26" ht="18" hidden="1" customHeight="1" x14ac:dyDescent="0.2">
      <c r="A1541" s="279">
        <f t="shared" si="1814"/>
        <v>44392</v>
      </c>
      <c r="B1541" s="280" t="s">
        <v>194</v>
      </c>
      <c r="C1541" s="48">
        <f t="shared" ref="C1541" si="1895">(V1542-V1541)*1+(W1542-W1541)*32+(X1542-X1541)*12+(Y1542-Y1541)*6</f>
        <v>2631</v>
      </c>
      <c r="D1541" s="84">
        <f t="shared" si="1876"/>
        <v>1841</v>
      </c>
      <c r="E1541" s="45">
        <f t="shared" si="1886"/>
        <v>1680.0000000000291</v>
      </c>
      <c r="F1541" s="45">
        <f t="shared" ref="F1541" si="1896">(Z1542-Z1541)*1</f>
        <v>120</v>
      </c>
      <c r="G1541" s="79">
        <f t="shared" ref="G1541" si="1897">C1541+D1541+F1541+E1541</f>
        <v>6272.0000000000291</v>
      </c>
      <c r="H1541" s="199">
        <v>5698</v>
      </c>
      <c r="I1541" s="199">
        <v>1109</v>
      </c>
      <c r="J1541" s="200">
        <f t="shared" si="1867"/>
        <v>6807</v>
      </c>
      <c r="K1541" s="201">
        <f t="shared" si="1868"/>
        <v>534.9999999999709</v>
      </c>
      <c r="L1541" s="276">
        <v>549</v>
      </c>
      <c r="M1541" s="249">
        <v>0.38541666666666669</v>
      </c>
      <c r="N1541" s="235">
        <v>234117</v>
      </c>
      <c r="O1541" s="235">
        <v>115899</v>
      </c>
      <c r="P1541" s="235">
        <v>13237</v>
      </c>
      <c r="Q1541" s="235"/>
      <c r="R1541" s="235">
        <v>47295</v>
      </c>
      <c r="S1541" s="236">
        <v>2615.1999999999998</v>
      </c>
      <c r="T1541" s="236">
        <v>11.8</v>
      </c>
      <c r="U1541" s="236"/>
      <c r="V1541" s="235">
        <v>342584</v>
      </c>
      <c r="W1541" s="235">
        <v>133927</v>
      </c>
      <c r="X1541" s="235">
        <v>120186</v>
      </c>
      <c r="Y1541" s="235">
        <v>92778</v>
      </c>
      <c r="Z1541" s="235">
        <v>229185</v>
      </c>
    </row>
    <row r="1542" spans="1:26" ht="18" hidden="1" customHeight="1" x14ac:dyDescent="0.2">
      <c r="A1542" s="279">
        <f t="shared" si="1814"/>
        <v>44393</v>
      </c>
      <c r="B1542" s="278" t="s">
        <v>189</v>
      </c>
      <c r="C1542" s="48">
        <f t="shared" ref="C1542:C1544" si="1898">(V1543-V1542)*1+(W1543-W1542)*32+(X1543-X1542)*12+(Y1543-Y1542)*6</f>
        <v>0</v>
      </c>
      <c r="D1542" s="84">
        <f t="shared" si="1876"/>
        <v>0</v>
      </c>
      <c r="E1542" s="45">
        <f t="shared" si="1886"/>
        <v>0</v>
      </c>
      <c r="F1542" s="45">
        <f t="shared" ref="F1542:F1544" si="1899">(Z1543-Z1542)*1</f>
        <v>0</v>
      </c>
      <c r="G1542" s="79">
        <f t="shared" ref="G1542:G1544" si="1900">C1542+D1542+F1542+E1542</f>
        <v>0</v>
      </c>
      <c r="H1542" s="199">
        <v>5412</v>
      </c>
      <c r="I1542" s="199">
        <v>1112</v>
      </c>
      <c r="J1542" s="200">
        <f t="shared" si="1867"/>
        <v>6524</v>
      </c>
      <c r="K1542" s="201">
        <f t="shared" si="1868"/>
        <v>6524</v>
      </c>
      <c r="L1542" s="276">
        <v>520</v>
      </c>
      <c r="M1542" s="249">
        <v>0.39583333333333331</v>
      </c>
      <c r="N1542" s="235">
        <v>234249</v>
      </c>
      <c r="O1542" s="235">
        <v>115949</v>
      </c>
      <c r="P1542" s="235">
        <v>13335</v>
      </c>
      <c r="Q1542" s="235"/>
      <c r="R1542" s="235">
        <v>47296</v>
      </c>
      <c r="S1542" s="236">
        <v>2635.8</v>
      </c>
      <c r="T1542" s="236">
        <v>12.6</v>
      </c>
      <c r="U1542" s="236"/>
      <c r="V1542" s="235">
        <v>342811</v>
      </c>
      <c r="W1542" s="235">
        <v>133974</v>
      </c>
      <c r="X1542" s="235">
        <v>120261</v>
      </c>
      <c r="Y1542" s="235">
        <v>92778</v>
      </c>
      <c r="Z1542" s="235">
        <v>229305</v>
      </c>
    </row>
    <row r="1543" spans="1:26" ht="18" hidden="1" customHeight="1" x14ac:dyDescent="0.2">
      <c r="A1543" s="279">
        <f t="shared" si="1814"/>
        <v>44394</v>
      </c>
      <c r="B1543" s="279" t="s">
        <v>195</v>
      </c>
      <c r="C1543" s="48">
        <f t="shared" si="1898"/>
        <v>0</v>
      </c>
      <c r="D1543" s="84">
        <f t="shared" si="1876"/>
        <v>0</v>
      </c>
      <c r="E1543" s="45">
        <f t="shared" si="1886"/>
        <v>0</v>
      </c>
      <c r="F1543" s="45">
        <f t="shared" si="1899"/>
        <v>0</v>
      </c>
      <c r="G1543" s="79">
        <f t="shared" si="1900"/>
        <v>0</v>
      </c>
      <c r="H1543" s="199">
        <v>0</v>
      </c>
      <c r="I1543" s="199">
        <f>1156+868</f>
        <v>2024</v>
      </c>
      <c r="J1543" s="200">
        <f t="shared" si="1867"/>
        <v>2024</v>
      </c>
      <c r="K1543" s="201">
        <f t="shared" si="1868"/>
        <v>2024</v>
      </c>
      <c r="L1543" s="276">
        <v>110</v>
      </c>
      <c r="M1543" s="249">
        <v>0.19791666666666666</v>
      </c>
      <c r="N1543" s="153">
        <v>234249</v>
      </c>
      <c r="O1543" s="153">
        <v>115949</v>
      </c>
      <c r="P1543" s="153">
        <v>13335</v>
      </c>
      <c r="Q1543" s="153"/>
      <c r="R1543" s="153">
        <v>47296</v>
      </c>
      <c r="S1543" s="154">
        <v>2635.8</v>
      </c>
      <c r="T1543" s="154">
        <v>12.6</v>
      </c>
      <c r="U1543" s="154"/>
      <c r="V1543" s="153">
        <v>342811</v>
      </c>
      <c r="W1543" s="153">
        <v>133974</v>
      </c>
      <c r="X1543" s="153">
        <v>120261</v>
      </c>
      <c r="Y1543" s="153">
        <v>92778</v>
      </c>
      <c r="Z1543" s="153">
        <v>229305</v>
      </c>
    </row>
    <row r="1544" spans="1:26" ht="18" hidden="1" customHeight="1" x14ac:dyDescent="0.2">
      <c r="A1544" s="279">
        <f t="shared" si="1814"/>
        <v>44395</v>
      </c>
      <c r="B1544" s="278" t="s">
        <v>190</v>
      </c>
      <c r="C1544" s="48">
        <f t="shared" si="1898"/>
        <v>3359</v>
      </c>
      <c r="D1544" s="84">
        <f t="shared" si="1876"/>
        <v>3648</v>
      </c>
      <c r="E1544" s="45">
        <f t="shared" si="1886"/>
        <v>1991.9999999999709</v>
      </c>
      <c r="F1544" s="45">
        <f t="shared" si="1899"/>
        <v>330</v>
      </c>
      <c r="G1544" s="79">
        <f t="shared" si="1900"/>
        <v>9328.9999999999709</v>
      </c>
      <c r="H1544" s="199">
        <v>0</v>
      </c>
      <c r="I1544" s="199">
        <v>2008</v>
      </c>
      <c r="J1544" s="200">
        <f t="shared" si="1867"/>
        <v>2008</v>
      </c>
      <c r="K1544" s="201">
        <f t="shared" si="1868"/>
        <v>-7320.9999999999709</v>
      </c>
      <c r="L1544" s="276">
        <v>116</v>
      </c>
      <c r="M1544" s="249">
        <v>0.83333333333333337</v>
      </c>
      <c r="N1544" s="153">
        <v>234249</v>
      </c>
      <c r="O1544" s="153">
        <v>115949</v>
      </c>
      <c r="P1544" s="153">
        <v>13335</v>
      </c>
      <c r="Q1544" s="153"/>
      <c r="R1544" s="153">
        <v>47296</v>
      </c>
      <c r="S1544" s="154">
        <v>2635.8</v>
      </c>
      <c r="T1544" s="154">
        <v>12.6</v>
      </c>
      <c r="U1544" s="154"/>
      <c r="V1544" s="153">
        <v>342811</v>
      </c>
      <c r="W1544" s="153">
        <v>133974</v>
      </c>
      <c r="X1544" s="153">
        <v>120261</v>
      </c>
      <c r="Y1544" s="153">
        <v>92778</v>
      </c>
      <c r="Z1544" s="153">
        <v>229305</v>
      </c>
    </row>
    <row r="1545" spans="1:26" ht="18" hidden="1" customHeight="1" x14ac:dyDescent="0.2">
      <c r="A1545" s="279">
        <f t="shared" si="1814"/>
        <v>44396</v>
      </c>
      <c r="B1545" s="280" t="s">
        <v>191</v>
      </c>
      <c r="C1545" s="48">
        <f t="shared" ref="C1545" si="1901">(V1546-V1545)*1+(W1546-W1545)*32+(X1546-X1545)*12+(Y1546-Y1545)*6</f>
        <v>2738</v>
      </c>
      <c r="D1545" s="84">
        <f t="shared" si="1876"/>
        <v>1672</v>
      </c>
      <c r="E1545" s="45">
        <f t="shared" si="1886"/>
        <v>2800.0000000000291</v>
      </c>
      <c r="F1545" s="45">
        <f t="shared" ref="F1545" si="1902">(Z1546-Z1545)*1</f>
        <v>121</v>
      </c>
      <c r="G1545" s="79">
        <f t="shared" ref="G1545" si="1903">C1545+D1545+F1545+E1545</f>
        <v>7331.0000000000291</v>
      </c>
      <c r="H1545" s="199">
        <v>5728</v>
      </c>
      <c r="I1545" s="199">
        <v>897</v>
      </c>
      <c r="J1545" s="200">
        <f t="shared" si="1867"/>
        <v>6625</v>
      </c>
      <c r="K1545" s="201">
        <f t="shared" si="1868"/>
        <v>-706.0000000000291</v>
      </c>
      <c r="L1545" s="276">
        <v>529</v>
      </c>
      <c r="M1545" s="249">
        <v>0.38541666666666669</v>
      </c>
      <c r="N1545" s="235">
        <v>234537</v>
      </c>
      <c r="O1545" s="235">
        <v>116062</v>
      </c>
      <c r="P1545" s="235">
        <v>13503</v>
      </c>
      <c r="Q1545" s="235"/>
      <c r="R1545" s="235">
        <v>47296</v>
      </c>
      <c r="S1545" s="236">
        <v>2659.2</v>
      </c>
      <c r="T1545" s="236">
        <v>15.6</v>
      </c>
      <c r="U1545" s="236"/>
      <c r="V1545" s="235">
        <v>343374</v>
      </c>
      <c r="W1545" s="235">
        <v>134037</v>
      </c>
      <c r="X1545" s="235">
        <v>120326</v>
      </c>
      <c r="Y1545" s="235">
        <v>92778</v>
      </c>
      <c r="Z1545" s="235">
        <v>229635</v>
      </c>
    </row>
    <row r="1546" spans="1:26" ht="18" hidden="1" customHeight="1" x14ac:dyDescent="0.2">
      <c r="A1546" s="279">
        <f t="shared" si="1814"/>
        <v>44397</v>
      </c>
      <c r="B1546" s="280" t="s">
        <v>192</v>
      </c>
      <c r="C1546" s="48">
        <f t="shared" ref="C1546" si="1904">(V1547-V1546)*1+(W1547-W1546)*32+(X1547-X1546)*12+(Y1547-Y1546)*6</f>
        <v>2689</v>
      </c>
      <c r="D1546" s="84">
        <f t="shared" si="1876"/>
        <v>1616</v>
      </c>
      <c r="E1546" s="45">
        <f t="shared" si="1886"/>
        <v>1628</v>
      </c>
      <c r="F1546" s="45">
        <f t="shared" ref="F1546" si="1905">(Z1547-Z1546)*1</f>
        <v>99</v>
      </c>
      <c r="G1546" s="79">
        <f t="shared" ref="G1546" si="1906">C1546+D1546+F1546+E1546</f>
        <v>6032</v>
      </c>
      <c r="H1546" s="199">
        <v>5591</v>
      </c>
      <c r="I1546" s="199">
        <v>1097</v>
      </c>
      <c r="J1546" s="200">
        <f t="shared" si="1867"/>
        <v>6688</v>
      </c>
      <c r="K1546" s="201">
        <f t="shared" si="1868"/>
        <v>656</v>
      </c>
      <c r="L1546" s="276">
        <v>534</v>
      </c>
      <c r="M1546" s="249">
        <v>0.38541666666666669</v>
      </c>
      <c r="N1546" s="235">
        <v>234667</v>
      </c>
      <c r="O1546" s="235">
        <v>116111</v>
      </c>
      <c r="P1546" s="235">
        <v>13582</v>
      </c>
      <c r="Q1546" s="235"/>
      <c r="R1546" s="235">
        <v>47296</v>
      </c>
      <c r="S1546" s="236">
        <v>2679.8</v>
      </c>
      <c r="T1546" s="236">
        <v>44.4</v>
      </c>
      <c r="U1546" s="236"/>
      <c r="V1546" s="235">
        <v>343684</v>
      </c>
      <c r="W1546" s="235">
        <v>134084</v>
      </c>
      <c r="X1546" s="235">
        <v>120403</v>
      </c>
      <c r="Y1546" s="235">
        <v>92778</v>
      </c>
      <c r="Z1546" s="235">
        <v>229756</v>
      </c>
    </row>
    <row r="1547" spans="1:26" ht="18" hidden="1" customHeight="1" x14ac:dyDescent="0.2">
      <c r="A1547" s="279">
        <f t="shared" si="1814"/>
        <v>44398</v>
      </c>
      <c r="B1547" s="280" t="s">
        <v>193</v>
      </c>
      <c r="C1547" s="48">
        <f t="shared" ref="C1547" si="1907">(V1548-V1547)*1+(W1548-W1547)*32+(X1548-X1547)*12+(Y1548-Y1547)*6</f>
        <v>2480</v>
      </c>
      <c r="D1547" s="84">
        <f t="shared" si="1876"/>
        <v>1632</v>
      </c>
      <c r="E1547" s="45">
        <f t="shared" si="1886"/>
        <v>1559.9999999999854</v>
      </c>
      <c r="F1547" s="45">
        <f t="shared" ref="F1547" si="1908">(Z1548-Z1547)*1</f>
        <v>75</v>
      </c>
      <c r="G1547" s="79">
        <f t="shared" ref="G1547" si="1909">C1547+D1547+F1547+E1547</f>
        <v>5746.9999999999854</v>
      </c>
      <c r="H1547" s="199">
        <v>5238</v>
      </c>
      <c r="I1547" s="199">
        <v>1039</v>
      </c>
      <c r="J1547" s="200">
        <f t="shared" si="1867"/>
        <v>6277</v>
      </c>
      <c r="K1547" s="201">
        <f t="shared" si="1868"/>
        <v>530.00000000001455</v>
      </c>
      <c r="L1547" s="276">
        <v>519</v>
      </c>
      <c r="M1547" s="249">
        <v>0.39583333333333331</v>
      </c>
      <c r="N1547" s="235">
        <v>234787</v>
      </c>
      <c r="O1547" s="235">
        <v>116159</v>
      </c>
      <c r="P1547" s="235">
        <v>13664</v>
      </c>
      <c r="Q1547" s="235"/>
      <c r="R1547" s="235">
        <v>47296</v>
      </c>
      <c r="S1547" s="236">
        <v>2699.8</v>
      </c>
      <c r="T1547" s="236">
        <v>45.1</v>
      </c>
      <c r="U1547" s="236"/>
      <c r="V1547" s="235">
        <v>343853</v>
      </c>
      <c r="W1547" s="235">
        <v>134132</v>
      </c>
      <c r="X1547" s="235">
        <v>120485</v>
      </c>
      <c r="Y1547" s="235">
        <v>92778</v>
      </c>
      <c r="Z1547" s="235">
        <v>229855</v>
      </c>
    </row>
    <row r="1548" spans="1:26" ht="18" hidden="1" customHeight="1" x14ac:dyDescent="0.2">
      <c r="A1548" s="279">
        <f t="shared" si="1814"/>
        <v>44399</v>
      </c>
      <c r="B1548" s="280" t="s">
        <v>194</v>
      </c>
      <c r="C1548" s="48">
        <f t="shared" ref="C1548" si="1910">(V1549-V1548)*1+(W1549-W1548)*32+(X1549-X1548)*12+(Y1549-Y1548)*6</f>
        <v>2609</v>
      </c>
      <c r="D1548" s="84">
        <f t="shared" si="1876"/>
        <v>1400</v>
      </c>
      <c r="E1548" s="45">
        <f t="shared" si="1886"/>
        <v>1515.9999999999925</v>
      </c>
      <c r="F1548" s="45">
        <f t="shared" ref="F1548" si="1911">(Z1549-Z1548)*1</f>
        <v>55</v>
      </c>
      <c r="G1548" s="79">
        <f t="shared" ref="G1548" si="1912">C1548+D1548+F1548+E1548</f>
        <v>5579.9999999999927</v>
      </c>
      <c r="H1548" s="199">
        <v>5191</v>
      </c>
      <c r="I1548" s="199">
        <v>992</v>
      </c>
      <c r="J1548" s="200">
        <f t="shared" si="1867"/>
        <v>6183</v>
      </c>
      <c r="K1548" s="201">
        <f t="shared" si="1868"/>
        <v>603.00000000000728</v>
      </c>
      <c r="L1548" s="276">
        <v>484</v>
      </c>
      <c r="M1548" s="249">
        <v>0.38541666666666669</v>
      </c>
      <c r="N1548" s="235">
        <v>234917</v>
      </c>
      <c r="O1548" s="235">
        <v>116206</v>
      </c>
      <c r="P1548" s="235">
        <v>13738</v>
      </c>
      <c r="Q1548" s="235"/>
      <c r="R1548" s="235">
        <v>47296</v>
      </c>
      <c r="S1548" s="236">
        <v>2719</v>
      </c>
      <c r="T1548" s="236">
        <v>45.7</v>
      </c>
      <c r="U1548" s="236"/>
      <c r="V1548" s="235">
        <v>344069</v>
      </c>
      <c r="W1548" s="235">
        <v>134178</v>
      </c>
      <c r="X1548" s="235">
        <v>120551</v>
      </c>
      <c r="Y1548" s="235">
        <v>92778</v>
      </c>
      <c r="Z1548" s="235">
        <v>229930</v>
      </c>
    </row>
    <row r="1549" spans="1:26" ht="18" hidden="1" customHeight="1" x14ac:dyDescent="0.2">
      <c r="A1549" s="279">
        <f t="shared" si="1814"/>
        <v>44400</v>
      </c>
      <c r="B1549" s="278" t="s">
        <v>189</v>
      </c>
      <c r="C1549" s="48">
        <f t="shared" ref="C1549:C1551" si="1913">(V1550-V1549)*1+(W1550-W1549)*32+(X1550-X1549)*12+(Y1550-Y1549)*6</f>
        <v>0</v>
      </c>
      <c r="D1549" s="84">
        <f t="shared" si="1876"/>
        <v>0</v>
      </c>
      <c r="E1549" s="45">
        <f t="shared" si="1886"/>
        <v>0</v>
      </c>
      <c r="F1549" s="45">
        <f t="shared" ref="F1549:F1551" si="1914">(Z1550-Z1549)*1</f>
        <v>0</v>
      </c>
      <c r="G1549" s="79">
        <f t="shared" ref="G1549:G1551" si="1915">C1549+D1549+F1549+E1549</f>
        <v>0</v>
      </c>
      <c r="H1549" s="199">
        <v>5056</v>
      </c>
      <c r="I1549" s="199">
        <v>943</v>
      </c>
      <c r="J1549" s="200">
        <f t="shared" si="1867"/>
        <v>5999</v>
      </c>
      <c r="K1549" s="201">
        <f t="shared" si="1868"/>
        <v>5999</v>
      </c>
      <c r="L1549" s="276">
        <v>482</v>
      </c>
      <c r="M1549" s="249">
        <v>0.39583333333333331</v>
      </c>
      <c r="N1549" s="235">
        <v>235037</v>
      </c>
      <c r="O1549" s="235">
        <v>116254</v>
      </c>
      <c r="P1549" s="235">
        <v>13793</v>
      </c>
      <c r="Q1549" s="235"/>
      <c r="R1549" s="235">
        <v>47296</v>
      </c>
      <c r="S1549" s="236">
        <v>2737.1</v>
      </c>
      <c r="T1549" s="236">
        <v>47.4</v>
      </c>
      <c r="U1549" s="236"/>
      <c r="V1549" s="235">
        <v>344286</v>
      </c>
      <c r="W1549" s="235">
        <v>134225</v>
      </c>
      <c r="X1549" s="235">
        <v>120625</v>
      </c>
      <c r="Y1549" s="235">
        <v>92778</v>
      </c>
      <c r="Z1549" s="235">
        <v>229985</v>
      </c>
    </row>
    <row r="1550" spans="1:26" ht="18" hidden="1" customHeight="1" x14ac:dyDescent="0.2">
      <c r="A1550" s="279">
        <f t="shared" si="1814"/>
        <v>44401</v>
      </c>
      <c r="B1550" s="279" t="s">
        <v>195</v>
      </c>
      <c r="C1550" s="48">
        <f t="shared" si="1913"/>
        <v>0</v>
      </c>
      <c r="D1550" s="84">
        <f t="shared" si="1876"/>
        <v>0</v>
      </c>
      <c r="E1550" s="45">
        <f t="shared" si="1886"/>
        <v>0</v>
      </c>
      <c r="F1550" s="45">
        <f t="shared" si="1914"/>
        <v>0</v>
      </c>
      <c r="G1550" s="79">
        <f t="shared" si="1915"/>
        <v>0</v>
      </c>
      <c r="H1550" s="199">
        <v>0</v>
      </c>
      <c r="I1550" s="199">
        <f>1092+755</f>
        <v>1847</v>
      </c>
      <c r="J1550" s="200">
        <f t="shared" si="1867"/>
        <v>1847</v>
      </c>
      <c r="K1550" s="201">
        <f t="shared" si="1868"/>
        <v>1847</v>
      </c>
      <c r="L1550" s="276">
        <v>95</v>
      </c>
      <c r="M1550" s="249">
        <v>0.21875</v>
      </c>
      <c r="N1550" s="153">
        <v>235037</v>
      </c>
      <c r="O1550" s="153">
        <v>116254</v>
      </c>
      <c r="P1550" s="153">
        <v>13793</v>
      </c>
      <c r="Q1550" s="153"/>
      <c r="R1550" s="153">
        <v>47296</v>
      </c>
      <c r="S1550" s="154">
        <v>2737.1</v>
      </c>
      <c r="T1550" s="154">
        <v>47.4</v>
      </c>
      <c r="U1550" s="154"/>
      <c r="V1550" s="153">
        <v>344286</v>
      </c>
      <c r="W1550" s="153">
        <v>134225</v>
      </c>
      <c r="X1550" s="153">
        <v>120625</v>
      </c>
      <c r="Y1550" s="153">
        <v>92778</v>
      </c>
      <c r="Z1550" s="153">
        <v>229985</v>
      </c>
    </row>
    <row r="1551" spans="1:26" ht="18" hidden="1" customHeight="1" x14ac:dyDescent="0.2">
      <c r="A1551" s="279">
        <f t="shared" si="1814"/>
        <v>44402</v>
      </c>
      <c r="B1551" s="278" t="s">
        <v>190</v>
      </c>
      <c r="C1551" s="48">
        <f t="shared" si="1913"/>
        <v>3459</v>
      </c>
      <c r="D1551" s="84">
        <f t="shared" si="1876"/>
        <v>3424</v>
      </c>
      <c r="E1551" s="45">
        <f t="shared" si="1886"/>
        <v>2276.0000000000146</v>
      </c>
      <c r="F1551" s="45">
        <f t="shared" si="1914"/>
        <v>280</v>
      </c>
      <c r="G1551" s="79">
        <f t="shared" si="1915"/>
        <v>9439.0000000000146</v>
      </c>
      <c r="H1551" s="199">
        <v>0</v>
      </c>
      <c r="I1551" s="199">
        <v>2032</v>
      </c>
      <c r="J1551" s="200">
        <f t="shared" si="1867"/>
        <v>2032</v>
      </c>
      <c r="K1551" s="201">
        <f t="shared" si="1868"/>
        <v>-7407.0000000000146</v>
      </c>
      <c r="L1551" s="276">
        <v>123</v>
      </c>
      <c r="M1551" s="249">
        <v>0.79166666666666663</v>
      </c>
      <c r="N1551" s="153">
        <v>235037</v>
      </c>
      <c r="O1551" s="153">
        <v>116254</v>
      </c>
      <c r="P1551" s="153">
        <v>13793</v>
      </c>
      <c r="Q1551" s="153"/>
      <c r="R1551" s="153">
        <v>47296</v>
      </c>
      <c r="S1551" s="154">
        <v>2737.1</v>
      </c>
      <c r="T1551" s="154">
        <v>47.4</v>
      </c>
      <c r="U1551" s="154"/>
      <c r="V1551" s="153">
        <v>344286</v>
      </c>
      <c r="W1551" s="153">
        <v>134225</v>
      </c>
      <c r="X1551" s="153">
        <v>120625</v>
      </c>
      <c r="Y1551" s="153">
        <v>92778</v>
      </c>
      <c r="Z1551" s="153">
        <v>229985</v>
      </c>
    </row>
    <row r="1552" spans="1:26" ht="18" hidden="1" customHeight="1" x14ac:dyDescent="0.2">
      <c r="A1552" s="279">
        <f t="shared" si="1814"/>
        <v>44403</v>
      </c>
      <c r="B1552" s="280" t="s">
        <v>191</v>
      </c>
      <c r="C1552" s="48">
        <f t="shared" ref="C1552" si="1916">(V1553-V1552)*1+(W1553-W1552)*32+(X1553-X1552)*12+(Y1553-Y1552)*6</f>
        <v>2538</v>
      </c>
      <c r="D1552" s="84">
        <f t="shared" si="1876"/>
        <v>1288</v>
      </c>
      <c r="E1552" s="45">
        <f t="shared" si="1886"/>
        <v>1720</v>
      </c>
      <c r="F1552" s="45">
        <f t="shared" ref="F1552" si="1917">(Z1553-Z1552)*1</f>
        <v>123</v>
      </c>
      <c r="G1552" s="79">
        <f t="shared" ref="G1552" si="1918">C1552+D1552+F1552+E1552</f>
        <v>5669</v>
      </c>
      <c r="H1552" s="199">
        <v>5467</v>
      </c>
      <c r="I1552" s="199">
        <v>897</v>
      </c>
      <c r="J1552" s="200">
        <f t="shared" si="1867"/>
        <v>6364</v>
      </c>
      <c r="K1552" s="201">
        <f t="shared" si="1868"/>
        <v>695</v>
      </c>
      <c r="L1552" s="276">
        <v>519</v>
      </c>
      <c r="M1552" s="249">
        <v>0.42708333333333331</v>
      </c>
      <c r="N1552" s="235">
        <v>235347</v>
      </c>
      <c r="O1552" s="235">
        <v>116368</v>
      </c>
      <c r="P1552" s="235">
        <v>13911</v>
      </c>
      <c r="Q1552" s="235"/>
      <c r="R1552" s="235">
        <v>47296</v>
      </c>
      <c r="S1552" s="236">
        <v>2759.9</v>
      </c>
      <c r="T1552" s="236">
        <v>58.7</v>
      </c>
      <c r="U1552" s="236"/>
      <c r="V1552" s="235">
        <v>344865</v>
      </c>
      <c r="W1552" s="235">
        <v>134288</v>
      </c>
      <c r="X1552" s="235">
        <v>120697</v>
      </c>
      <c r="Y1552" s="235">
        <v>92778</v>
      </c>
      <c r="Z1552" s="235">
        <v>230265</v>
      </c>
    </row>
    <row r="1553" spans="1:26" ht="18" hidden="1" customHeight="1" x14ac:dyDescent="0.2">
      <c r="A1553" s="279">
        <f t="shared" si="1814"/>
        <v>44404</v>
      </c>
      <c r="B1553" s="280" t="s">
        <v>192</v>
      </c>
      <c r="C1553" s="48">
        <f t="shared" ref="C1553" si="1919">(V1554-V1553)*1+(W1554-W1553)*32+(X1554-X1553)*12+(Y1554-Y1553)*6</f>
        <v>2552</v>
      </c>
      <c r="D1553" s="84">
        <f t="shared" si="1876"/>
        <v>1400</v>
      </c>
      <c r="E1553" s="45">
        <f t="shared" si="1886"/>
        <v>1624.0000000000073</v>
      </c>
      <c r="F1553" s="45">
        <f t="shared" ref="F1553" si="1920">(Z1554-Z1553)*1</f>
        <v>132</v>
      </c>
      <c r="G1553" s="79">
        <f t="shared" ref="G1553" si="1921">C1553+D1553+F1553+E1553</f>
        <v>5708.0000000000073</v>
      </c>
      <c r="H1553" s="199">
        <v>5227</v>
      </c>
      <c r="I1553" s="199">
        <v>946</v>
      </c>
      <c r="J1553" s="200">
        <f t="shared" si="1867"/>
        <v>6173</v>
      </c>
      <c r="K1553" s="201">
        <f t="shared" si="1868"/>
        <v>464.99999999999272</v>
      </c>
      <c r="L1553" s="276">
        <v>482</v>
      </c>
      <c r="M1553" s="249">
        <v>0.45833333333333331</v>
      </c>
      <c r="N1553" s="235">
        <v>235457</v>
      </c>
      <c r="O1553" s="235">
        <v>116412</v>
      </c>
      <c r="P1553" s="235">
        <v>13962</v>
      </c>
      <c r="Q1553" s="235"/>
      <c r="R1553" s="235">
        <v>47296</v>
      </c>
      <c r="S1553" s="236">
        <v>2780.9</v>
      </c>
      <c r="T1553" s="236">
        <v>59.7</v>
      </c>
      <c r="U1553" s="236"/>
      <c r="V1553" s="235">
        <v>345111</v>
      </c>
      <c r="W1553" s="235">
        <v>134336</v>
      </c>
      <c r="X1553" s="235">
        <v>120760</v>
      </c>
      <c r="Y1553" s="235">
        <v>92778</v>
      </c>
      <c r="Z1553" s="235">
        <v>230388</v>
      </c>
    </row>
    <row r="1554" spans="1:26" ht="18" hidden="1" customHeight="1" x14ac:dyDescent="0.2">
      <c r="A1554" s="279">
        <f t="shared" si="1814"/>
        <v>44405</v>
      </c>
      <c r="B1554" s="280" t="s">
        <v>193</v>
      </c>
      <c r="C1554" s="48">
        <f t="shared" ref="C1554" si="1922">(V1555-V1554)*1+(W1555-W1554)*32+(X1555-X1554)*12+(Y1555-Y1554)*6</f>
        <v>2421</v>
      </c>
      <c r="D1554" s="84">
        <f t="shared" si="1876"/>
        <v>1320</v>
      </c>
      <c r="E1554" s="45">
        <f t="shared" si="1886"/>
        <v>1631.9999999999927</v>
      </c>
      <c r="F1554" s="45">
        <f t="shared" ref="F1554" si="1923">(Z1555-Z1554)*1</f>
        <v>145</v>
      </c>
      <c r="G1554" s="79">
        <f t="shared" ref="G1554" si="1924">C1554+D1554+F1554+E1554</f>
        <v>5517.9999999999927</v>
      </c>
      <c r="H1554" s="199">
        <v>5178</v>
      </c>
      <c r="I1554" s="199">
        <v>977</v>
      </c>
      <c r="J1554" s="200">
        <f t="shared" si="1867"/>
        <v>6155</v>
      </c>
      <c r="K1554" s="201">
        <f t="shared" si="1868"/>
        <v>637.00000000000728</v>
      </c>
      <c r="L1554" s="276">
        <v>500</v>
      </c>
      <c r="M1554" s="249">
        <v>0.65625</v>
      </c>
      <c r="N1554" s="235">
        <v>235587</v>
      </c>
      <c r="O1554" s="235">
        <v>116459</v>
      </c>
      <c r="P1554" s="235">
        <v>14007</v>
      </c>
      <c r="Q1554" s="235"/>
      <c r="R1554" s="235">
        <v>47296</v>
      </c>
      <c r="S1554" s="236">
        <v>2800.8</v>
      </c>
      <c r="T1554" s="236">
        <v>60.5</v>
      </c>
      <c r="U1554" s="236"/>
      <c r="V1554" s="235">
        <v>345359</v>
      </c>
      <c r="W1554" s="235">
        <v>134384</v>
      </c>
      <c r="X1554" s="235">
        <v>120824</v>
      </c>
      <c r="Y1554" s="235">
        <v>92778</v>
      </c>
      <c r="Z1554" s="235">
        <v>230520</v>
      </c>
    </row>
    <row r="1555" spans="1:26" ht="18" hidden="1" customHeight="1" x14ac:dyDescent="0.2">
      <c r="A1555" s="279">
        <f t="shared" si="1814"/>
        <v>44406</v>
      </c>
      <c r="B1555" s="280" t="s">
        <v>194</v>
      </c>
      <c r="C1555" s="48">
        <f t="shared" ref="C1555" si="1925">(V1556-V1555)*1+(W1556-W1555)*32+(X1556-X1555)*12+(Y1556-Y1555)*6</f>
        <v>2559</v>
      </c>
      <c r="D1555" s="84">
        <f t="shared" si="1876"/>
        <v>1328</v>
      </c>
      <c r="E1555" s="45">
        <f t="shared" si="1886"/>
        <v>1787.9999999999925</v>
      </c>
      <c r="F1555" s="45">
        <f t="shared" ref="F1555" si="1926">(Z1556-Z1555)*1</f>
        <v>121</v>
      </c>
      <c r="G1555" s="79">
        <f t="shared" ref="G1555" si="1927">C1555+D1555+F1555+E1555</f>
        <v>5795.9999999999927</v>
      </c>
      <c r="H1555" s="199">
        <v>5279</v>
      </c>
      <c r="I1555" s="199">
        <v>921</v>
      </c>
      <c r="J1555" s="200">
        <f t="shared" si="1867"/>
        <v>6200</v>
      </c>
      <c r="K1555" s="201">
        <f t="shared" si="1868"/>
        <v>404.00000000000728</v>
      </c>
      <c r="L1555" s="276">
        <v>505</v>
      </c>
      <c r="M1555" s="249">
        <v>0.40625</v>
      </c>
      <c r="N1555" s="235">
        <v>235707</v>
      </c>
      <c r="O1555" s="235">
        <v>116507</v>
      </c>
      <c r="P1555" s="235">
        <v>14052</v>
      </c>
      <c r="Q1555" s="235"/>
      <c r="R1555" s="235">
        <v>47296</v>
      </c>
      <c r="S1555" s="236">
        <v>2820.4</v>
      </c>
      <c r="T1555" s="236">
        <v>62.1</v>
      </c>
      <c r="U1555" s="236"/>
      <c r="V1555" s="235">
        <v>345596</v>
      </c>
      <c r="W1555" s="235">
        <v>134429</v>
      </c>
      <c r="X1555" s="235">
        <v>120886</v>
      </c>
      <c r="Y1555" s="235">
        <v>92778</v>
      </c>
      <c r="Z1555" s="235">
        <v>230665</v>
      </c>
    </row>
    <row r="1556" spans="1:26" ht="18" hidden="1" customHeight="1" x14ac:dyDescent="0.2">
      <c r="A1556" s="279">
        <f t="shared" si="1814"/>
        <v>44407</v>
      </c>
      <c r="B1556" s="278" t="s">
        <v>189</v>
      </c>
      <c r="C1556" s="48">
        <f t="shared" ref="C1556:C1558" si="1928">(V1557-V1556)*1+(W1557-W1556)*32+(X1557-X1556)*12+(Y1557-Y1556)*6</f>
        <v>0</v>
      </c>
      <c r="D1556" s="84">
        <f t="shared" si="1876"/>
        <v>0</v>
      </c>
      <c r="E1556" s="45">
        <f t="shared" si="1886"/>
        <v>0</v>
      </c>
      <c r="F1556" s="45">
        <f t="shared" ref="F1556:F1558" si="1929">(Z1557-Z1556)*1</f>
        <v>0</v>
      </c>
      <c r="G1556" s="79">
        <f t="shared" ref="G1556:G1558" si="1930">C1556+D1556+F1556+E1556</f>
        <v>0</v>
      </c>
      <c r="H1556" s="199">
        <v>5369</v>
      </c>
      <c r="I1556" s="199">
        <v>972</v>
      </c>
      <c r="J1556" s="200">
        <f t="shared" si="1867"/>
        <v>6341</v>
      </c>
      <c r="K1556" s="201">
        <f t="shared" si="1868"/>
        <v>6341</v>
      </c>
      <c r="L1556" s="276">
        <v>495</v>
      </c>
      <c r="M1556" s="249">
        <v>0.47916666666666669</v>
      </c>
      <c r="N1556" s="235">
        <v>235827</v>
      </c>
      <c r="O1556" s="235">
        <v>116555</v>
      </c>
      <c r="P1556" s="235">
        <v>14098</v>
      </c>
      <c r="Q1556" s="235"/>
      <c r="R1556" s="235">
        <v>47296</v>
      </c>
      <c r="S1556" s="236">
        <v>2841</v>
      </c>
      <c r="T1556" s="236">
        <v>65.599999999999994</v>
      </c>
      <c r="U1556" s="236"/>
      <c r="V1556" s="235">
        <v>345827</v>
      </c>
      <c r="W1556" s="235">
        <v>134477</v>
      </c>
      <c r="X1556" s="235">
        <v>120952</v>
      </c>
      <c r="Y1556" s="235">
        <v>92778</v>
      </c>
      <c r="Z1556" s="235">
        <v>230786</v>
      </c>
    </row>
    <row r="1557" spans="1:26" ht="18" hidden="1" customHeight="1" x14ac:dyDescent="0.2">
      <c r="A1557" s="279">
        <f t="shared" si="1814"/>
        <v>44408</v>
      </c>
      <c r="B1557" s="279" t="s">
        <v>195</v>
      </c>
      <c r="C1557" s="48">
        <f t="shared" si="1928"/>
        <v>0</v>
      </c>
      <c r="D1557" s="84">
        <f t="shared" si="1876"/>
        <v>0</v>
      </c>
      <c r="E1557" s="45">
        <f t="shared" si="1886"/>
        <v>0</v>
      </c>
      <c r="F1557" s="45">
        <f t="shared" si="1929"/>
        <v>0</v>
      </c>
      <c r="G1557" s="79">
        <f t="shared" si="1930"/>
        <v>0</v>
      </c>
      <c r="H1557" s="199">
        <v>0</v>
      </c>
      <c r="I1557" s="199">
        <f>559+683</f>
        <v>1242</v>
      </c>
      <c r="J1557" s="200">
        <f t="shared" si="1867"/>
        <v>1242</v>
      </c>
      <c r="K1557" s="201">
        <f t="shared" si="1868"/>
        <v>1242</v>
      </c>
      <c r="L1557" s="276">
        <v>99</v>
      </c>
      <c r="M1557" s="249">
        <v>0.125</v>
      </c>
      <c r="N1557" s="153">
        <v>235827</v>
      </c>
      <c r="O1557" s="153">
        <v>116555</v>
      </c>
      <c r="P1557" s="153">
        <v>14098</v>
      </c>
      <c r="Q1557" s="153"/>
      <c r="R1557" s="153">
        <v>47296</v>
      </c>
      <c r="S1557" s="154">
        <v>2841</v>
      </c>
      <c r="T1557" s="154">
        <v>65.599999999999994</v>
      </c>
      <c r="U1557" s="154"/>
      <c r="V1557" s="153">
        <v>345827</v>
      </c>
      <c r="W1557" s="153">
        <v>134477</v>
      </c>
      <c r="X1557" s="153">
        <v>120952</v>
      </c>
      <c r="Y1557" s="153">
        <v>92778</v>
      </c>
      <c r="Z1557" s="153">
        <v>230786</v>
      </c>
    </row>
    <row r="1558" spans="1:26" ht="18" hidden="1" customHeight="1" thickTop="1" x14ac:dyDescent="0.2">
      <c r="A1558" s="279">
        <f t="shared" si="1814"/>
        <v>44409</v>
      </c>
      <c r="B1558" s="278" t="s">
        <v>190</v>
      </c>
      <c r="C1558" s="48">
        <f t="shared" si="1928"/>
        <v>3465</v>
      </c>
      <c r="D1558" s="84">
        <f t="shared" si="1876"/>
        <v>1512</v>
      </c>
      <c r="E1558" s="45">
        <f t="shared" si="1886"/>
        <v>2700.0000000000146</v>
      </c>
      <c r="F1558" s="45">
        <f t="shared" si="1929"/>
        <v>333</v>
      </c>
      <c r="G1558" s="79">
        <f t="shared" si="1930"/>
        <v>8010.0000000000146</v>
      </c>
      <c r="H1558" s="199">
        <v>0</v>
      </c>
      <c r="I1558" s="199">
        <v>1087</v>
      </c>
      <c r="J1558" s="200">
        <f t="shared" ref="J1558:J1588" si="1931">H1558+I1558</f>
        <v>1087</v>
      </c>
      <c r="K1558" s="201">
        <f t="shared" ref="K1558:K1588" si="1932">J1558-G1558</f>
        <v>-6923.0000000000146</v>
      </c>
      <c r="L1558" s="291" t="s">
        <v>207</v>
      </c>
      <c r="M1558" s="276"/>
      <c r="N1558" s="153">
        <v>235827</v>
      </c>
      <c r="O1558" s="153">
        <v>116555</v>
      </c>
      <c r="P1558" s="153">
        <v>14098</v>
      </c>
      <c r="Q1558" s="153"/>
      <c r="R1558" s="153">
        <v>47296</v>
      </c>
      <c r="S1558" s="154">
        <v>2841</v>
      </c>
      <c r="T1558" s="154">
        <v>65.599999999999994</v>
      </c>
      <c r="U1558" s="154"/>
      <c r="V1558" s="153">
        <v>345827</v>
      </c>
      <c r="W1558" s="153">
        <v>134477</v>
      </c>
      <c r="X1558" s="153">
        <v>120952</v>
      </c>
      <c r="Y1558" s="153">
        <v>92778</v>
      </c>
      <c r="Z1558" s="153">
        <v>230786</v>
      </c>
    </row>
    <row r="1559" spans="1:26" ht="18" hidden="1" customHeight="1" x14ac:dyDescent="0.2">
      <c r="A1559" s="279">
        <f t="shared" si="1814"/>
        <v>44410</v>
      </c>
      <c r="B1559" s="280" t="s">
        <v>191</v>
      </c>
      <c r="C1559" s="48">
        <f t="shared" ref="C1559" si="1933">(V1560-V1559)*1+(W1560-W1559)*32+(X1560-X1559)*12+(Y1560-Y1559)*6</f>
        <v>2674</v>
      </c>
      <c r="D1559" s="84">
        <f t="shared" si="1876"/>
        <v>1328</v>
      </c>
      <c r="E1559" s="45">
        <f t="shared" si="1886"/>
        <v>1715.9999999999854</v>
      </c>
      <c r="F1559" s="45">
        <f t="shared" ref="F1559" si="1934">(Z1560-Z1559)*1</f>
        <v>76</v>
      </c>
      <c r="G1559" s="79">
        <f t="shared" ref="G1559" si="1935">C1559+D1559+F1559+E1559</f>
        <v>5793.9999999999854</v>
      </c>
      <c r="H1559" s="199">
        <v>5361</v>
      </c>
      <c r="I1559" s="199">
        <v>632</v>
      </c>
      <c r="J1559" s="200">
        <f t="shared" si="1931"/>
        <v>5993</v>
      </c>
      <c r="K1559" s="201">
        <f t="shared" si="1932"/>
        <v>199.00000000001455</v>
      </c>
      <c r="L1559" s="276"/>
      <c r="M1559" s="276"/>
      <c r="N1559" s="235">
        <v>235947</v>
      </c>
      <c r="O1559" s="235">
        <v>116601</v>
      </c>
      <c r="P1559" s="235">
        <v>14167</v>
      </c>
      <c r="Q1559" s="235"/>
      <c r="R1559" s="235">
        <v>47296</v>
      </c>
      <c r="S1559" s="236">
        <v>2866.3</v>
      </c>
      <c r="T1559" s="236">
        <v>82.5</v>
      </c>
      <c r="U1559" s="236"/>
      <c r="V1559" s="235">
        <v>346384</v>
      </c>
      <c r="W1559" s="235">
        <v>134545</v>
      </c>
      <c r="X1559" s="235">
        <v>121013</v>
      </c>
      <c r="Y1559" s="235">
        <v>92778</v>
      </c>
      <c r="Z1559" s="235">
        <v>231119</v>
      </c>
    </row>
    <row r="1560" spans="1:26" ht="18" hidden="1" customHeight="1" x14ac:dyDescent="0.2">
      <c r="A1560" s="279">
        <f t="shared" si="1814"/>
        <v>44411</v>
      </c>
      <c r="B1560" s="280" t="s">
        <v>192</v>
      </c>
      <c r="C1560" s="48">
        <f t="shared" ref="C1560" si="1936">(V1561-V1560)*1+(W1561-W1560)*32+(X1561-X1560)*12+(Y1561-Y1560)*6</f>
        <v>2686</v>
      </c>
      <c r="D1560" s="84">
        <f t="shared" si="1876"/>
        <v>1240</v>
      </c>
      <c r="E1560" s="45">
        <f t="shared" si="1886"/>
        <v>1735.9999999999854</v>
      </c>
      <c r="F1560" s="45">
        <f t="shared" ref="F1560" si="1937">(Z1561-Z1560)*1</f>
        <v>74</v>
      </c>
      <c r="G1560" s="79">
        <f t="shared" ref="G1560" si="1938">C1560+D1560+F1560+E1560</f>
        <v>5735.9999999999854</v>
      </c>
      <c r="H1560" s="199">
        <v>5340</v>
      </c>
      <c r="I1560" s="199">
        <v>945</v>
      </c>
      <c r="J1560" s="200">
        <f t="shared" si="1931"/>
        <v>6285</v>
      </c>
      <c r="K1560" s="201">
        <f t="shared" si="1932"/>
        <v>549.00000000001455</v>
      </c>
      <c r="L1560" s="276"/>
      <c r="M1560" s="276"/>
      <c r="N1560" s="235">
        <v>236037</v>
      </c>
      <c r="O1560" s="235">
        <v>116639</v>
      </c>
      <c r="P1560" s="235">
        <v>14243</v>
      </c>
      <c r="Q1560" s="235"/>
      <c r="R1560" s="235">
        <v>47296</v>
      </c>
      <c r="S1560" s="236">
        <v>2887.5</v>
      </c>
      <c r="T1560" s="236">
        <v>83</v>
      </c>
      <c r="U1560" s="236"/>
      <c r="V1560" s="235">
        <v>346606</v>
      </c>
      <c r="W1560" s="235">
        <v>134592</v>
      </c>
      <c r="X1560" s="235">
        <v>121092</v>
      </c>
      <c r="Y1560" s="235">
        <v>92778</v>
      </c>
      <c r="Z1560" s="235">
        <v>231195</v>
      </c>
    </row>
    <row r="1561" spans="1:26" ht="18" hidden="1" customHeight="1" x14ac:dyDescent="0.2">
      <c r="A1561" s="279">
        <f t="shared" si="1814"/>
        <v>44412</v>
      </c>
      <c r="B1561" s="280" t="s">
        <v>193</v>
      </c>
      <c r="C1561" s="48">
        <f t="shared" ref="C1561" si="1939">(V1562-V1561)*1+(W1562-W1561)*32+(X1562-X1561)*12+(Y1562-Y1561)*6</f>
        <v>2649</v>
      </c>
      <c r="D1561" s="84">
        <f t="shared" si="1876"/>
        <v>1152</v>
      </c>
      <c r="E1561" s="45">
        <f t="shared" si="1886"/>
        <v>1816.0000000000218</v>
      </c>
      <c r="F1561" s="45">
        <f t="shared" ref="F1561" si="1940">(Z1562-Z1561)*1</f>
        <v>84</v>
      </c>
      <c r="G1561" s="79">
        <f t="shared" ref="G1561" si="1941">C1561+D1561+F1561+E1561</f>
        <v>5701.0000000000218</v>
      </c>
      <c r="H1561" s="199">
        <v>5330</v>
      </c>
      <c r="I1561" s="199">
        <v>905</v>
      </c>
      <c r="J1561" s="200">
        <f t="shared" si="1931"/>
        <v>6235</v>
      </c>
      <c r="K1561" s="201">
        <f t="shared" si="1932"/>
        <v>533.99999999997817</v>
      </c>
      <c r="L1561" s="276"/>
      <c r="M1561" s="276"/>
      <c r="N1561" s="235">
        <v>236117</v>
      </c>
      <c r="O1561" s="235">
        <v>116669</v>
      </c>
      <c r="P1561" s="235">
        <v>14318</v>
      </c>
      <c r="Q1561" s="235"/>
      <c r="R1561" s="235">
        <v>47296</v>
      </c>
      <c r="S1561" s="236">
        <v>2908.7</v>
      </c>
      <c r="T1561" s="236">
        <v>84</v>
      </c>
      <c r="U1561" s="236"/>
      <c r="V1561" s="235">
        <v>346836</v>
      </c>
      <c r="W1561" s="235">
        <v>134641</v>
      </c>
      <c r="X1561" s="235">
        <v>121166</v>
      </c>
      <c r="Y1561" s="235">
        <v>92778</v>
      </c>
      <c r="Z1561" s="235">
        <v>231269</v>
      </c>
    </row>
    <row r="1562" spans="1:26" ht="18" hidden="1" customHeight="1" x14ac:dyDescent="0.2">
      <c r="A1562" s="279">
        <f t="shared" si="1814"/>
        <v>44413</v>
      </c>
      <c r="B1562" s="280" t="s">
        <v>194</v>
      </c>
      <c r="C1562" s="48">
        <f t="shared" ref="C1562" si="1942">(V1563-V1562)*1+(W1563-W1562)*32+(X1563-X1562)*12+(Y1563-Y1562)*6</f>
        <v>2399</v>
      </c>
      <c r="D1562" s="84">
        <f t="shared" si="1876"/>
        <v>2255</v>
      </c>
      <c r="E1562" s="45">
        <f t="shared" si="1886"/>
        <v>1835.9999999999854</v>
      </c>
      <c r="F1562" s="45">
        <f t="shared" ref="F1562" si="1943">(Z1563-Z1562)*1</f>
        <v>78</v>
      </c>
      <c r="G1562" s="79">
        <f t="shared" ref="G1562" si="1944">C1562+D1562+F1562+E1562</f>
        <v>6567.9999999999854</v>
      </c>
      <c r="H1562" s="199">
        <v>5428</v>
      </c>
      <c r="I1562" s="199">
        <v>949</v>
      </c>
      <c r="J1562" s="200">
        <f t="shared" si="1931"/>
        <v>6377</v>
      </c>
      <c r="K1562" s="201">
        <f t="shared" si="1932"/>
        <v>-190.99999999998545</v>
      </c>
      <c r="L1562" s="276"/>
      <c r="M1562" s="276"/>
      <c r="N1562" s="235">
        <v>236187</v>
      </c>
      <c r="O1562" s="235">
        <v>116702</v>
      </c>
      <c r="P1562" s="235">
        <v>14392</v>
      </c>
      <c r="Q1562" s="235"/>
      <c r="R1562" s="235">
        <v>47296</v>
      </c>
      <c r="S1562" s="236">
        <v>2930.9</v>
      </c>
      <c r="T1562" s="236">
        <v>85</v>
      </c>
      <c r="U1562" s="236"/>
      <c r="V1562" s="235">
        <v>347065</v>
      </c>
      <c r="W1562" s="235">
        <v>134690</v>
      </c>
      <c r="X1562" s="235">
        <v>121237</v>
      </c>
      <c r="Y1562" s="235">
        <v>92778</v>
      </c>
      <c r="Z1562" s="235">
        <v>231353</v>
      </c>
    </row>
    <row r="1563" spans="1:26" ht="18" hidden="1" customHeight="1" x14ac:dyDescent="0.2">
      <c r="A1563" s="279">
        <f t="shared" si="1814"/>
        <v>44414</v>
      </c>
      <c r="B1563" s="278" t="s">
        <v>189</v>
      </c>
      <c r="C1563" s="48">
        <f t="shared" ref="C1563:C1566" si="1945">(V1564-V1563)*1+(W1564-W1563)*32+(X1564-X1563)*12+(Y1564-Y1563)*6</f>
        <v>0</v>
      </c>
      <c r="D1563" s="84">
        <f t="shared" si="1876"/>
        <v>0</v>
      </c>
      <c r="E1563" s="45">
        <f t="shared" si="1886"/>
        <v>0</v>
      </c>
      <c r="F1563" s="45">
        <f t="shared" ref="F1563:F1566" si="1946">(Z1564-Z1563)*1</f>
        <v>0</v>
      </c>
      <c r="G1563" s="79">
        <f t="shared" ref="G1563:G1566" si="1947">C1563+D1563+F1563+E1563</f>
        <v>0</v>
      </c>
      <c r="H1563" s="199">
        <v>5218</v>
      </c>
      <c r="I1563" s="199">
        <v>989</v>
      </c>
      <c r="J1563" s="200">
        <f t="shared" si="1931"/>
        <v>6207</v>
      </c>
      <c r="K1563" s="201">
        <f t="shared" si="1932"/>
        <v>6207</v>
      </c>
      <c r="L1563" s="276"/>
      <c r="M1563" s="276"/>
      <c r="N1563" s="235">
        <v>236387</v>
      </c>
      <c r="O1563" s="235">
        <v>116742</v>
      </c>
      <c r="P1563" s="235">
        <v>14474</v>
      </c>
      <c r="Q1563" s="235"/>
      <c r="R1563" s="235">
        <v>47295</v>
      </c>
      <c r="S1563" s="236">
        <v>2953.6</v>
      </c>
      <c r="T1563" s="236">
        <v>85.5</v>
      </c>
      <c r="U1563" s="236"/>
      <c r="V1563" s="235">
        <v>347288</v>
      </c>
      <c r="W1563" s="235">
        <v>134737</v>
      </c>
      <c r="X1563" s="235">
        <v>121293</v>
      </c>
      <c r="Y1563" s="235">
        <v>92778</v>
      </c>
      <c r="Z1563" s="235">
        <v>231431</v>
      </c>
    </row>
    <row r="1564" spans="1:26" ht="18" hidden="1" customHeight="1" x14ac:dyDescent="0.2">
      <c r="A1564" s="279">
        <f t="shared" si="1814"/>
        <v>44415</v>
      </c>
      <c r="B1564" s="279" t="s">
        <v>195</v>
      </c>
      <c r="C1564" s="48">
        <f t="shared" si="1945"/>
        <v>0</v>
      </c>
      <c r="D1564" s="84">
        <f t="shared" si="1876"/>
        <v>0</v>
      </c>
      <c r="E1564" s="45">
        <f t="shared" si="1886"/>
        <v>0</v>
      </c>
      <c r="F1564" s="45">
        <f t="shared" si="1946"/>
        <v>0</v>
      </c>
      <c r="G1564" s="79">
        <f t="shared" si="1947"/>
        <v>0</v>
      </c>
      <c r="H1564" s="199">
        <v>0</v>
      </c>
      <c r="I1564" s="199">
        <f>507+696</f>
        <v>1203</v>
      </c>
      <c r="J1564" s="200">
        <f t="shared" si="1931"/>
        <v>1203</v>
      </c>
      <c r="K1564" s="201">
        <f t="shared" si="1932"/>
        <v>1203</v>
      </c>
      <c r="L1564" s="276"/>
      <c r="M1564" s="276"/>
      <c r="N1564" s="153">
        <v>236387</v>
      </c>
      <c r="O1564" s="153">
        <v>116742</v>
      </c>
      <c r="P1564" s="153">
        <v>14474</v>
      </c>
      <c r="Q1564" s="153"/>
      <c r="R1564" s="153">
        <v>47295</v>
      </c>
      <c r="S1564" s="154">
        <v>2953.6</v>
      </c>
      <c r="T1564" s="154">
        <v>85.5</v>
      </c>
      <c r="U1564" s="154"/>
      <c r="V1564" s="153">
        <v>347288</v>
      </c>
      <c r="W1564" s="153">
        <v>134737</v>
      </c>
      <c r="X1564" s="153">
        <v>121293</v>
      </c>
      <c r="Y1564" s="153">
        <v>92778</v>
      </c>
      <c r="Z1564" s="153">
        <v>231431</v>
      </c>
    </row>
    <row r="1565" spans="1:26" ht="18" hidden="1" customHeight="1" x14ac:dyDescent="0.2">
      <c r="A1565" s="279">
        <f t="shared" si="1814"/>
        <v>44416</v>
      </c>
      <c r="B1565" s="278" t="s">
        <v>190</v>
      </c>
      <c r="C1565" s="48">
        <f t="shared" si="1945"/>
        <v>0</v>
      </c>
      <c r="D1565" s="84">
        <f t="shared" si="1876"/>
        <v>0</v>
      </c>
      <c r="E1565" s="45">
        <f t="shared" si="1886"/>
        <v>0</v>
      </c>
      <c r="F1565" s="45">
        <f t="shared" si="1946"/>
        <v>0</v>
      </c>
      <c r="G1565" s="79">
        <f t="shared" si="1947"/>
        <v>0</v>
      </c>
      <c r="H1565" s="199">
        <v>0</v>
      </c>
      <c r="I1565" s="199">
        <v>1072</v>
      </c>
      <c r="J1565" s="200">
        <f t="shared" si="1931"/>
        <v>1072</v>
      </c>
      <c r="K1565" s="201">
        <f t="shared" si="1932"/>
        <v>1072</v>
      </c>
      <c r="L1565" s="276"/>
      <c r="M1565" s="276"/>
      <c r="N1565" s="153">
        <v>236387</v>
      </c>
      <c r="O1565" s="153">
        <v>116742</v>
      </c>
      <c r="P1565" s="153">
        <v>14474</v>
      </c>
      <c r="Q1565" s="153"/>
      <c r="R1565" s="153">
        <v>47295</v>
      </c>
      <c r="S1565" s="154">
        <v>2953.6</v>
      </c>
      <c r="T1565" s="154">
        <v>85.5</v>
      </c>
      <c r="U1565" s="154"/>
      <c r="V1565" s="153">
        <v>347288</v>
      </c>
      <c r="W1565" s="153">
        <v>134737</v>
      </c>
      <c r="X1565" s="153">
        <v>121293</v>
      </c>
      <c r="Y1565" s="153">
        <v>92778</v>
      </c>
      <c r="Z1565" s="153">
        <v>231431</v>
      </c>
    </row>
    <row r="1566" spans="1:26" ht="18" hidden="1" customHeight="1" x14ac:dyDescent="0.2">
      <c r="A1566" s="279">
        <f t="shared" si="1814"/>
        <v>44417</v>
      </c>
      <c r="B1566" s="280" t="s">
        <v>191</v>
      </c>
      <c r="C1566" s="48">
        <f t="shared" si="1945"/>
        <v>6110</v>
      </c>
      <c r="D1566" s="84">
        <f t="shared" si="1876"/>
        <v>2521</v>
      </c>
      <c r="E1566" s="45">
        <f t="shared" si="1886"/>
        <v>4376</v>
      </c>
      <c r="F1566" s="45">
        <f t="shared" si="1946"/>
        <v>329</v>
      </c>
      <c r="G1566" s="79">
        <f t="shared" si="1947"/>
        <v>13336</v>
      </c>
      <c r="H1566" s="199">
        <v>5653</v>
      </c>
      <c r="I1566" s="199">
        <v>699</v>
      </c>
      <c r="J1566" s="200">
        <f t="shared" si="1931"/>
        <v>6352</v>
      </c>
      <c r="K1566" s="201">
        <f t="shared" si="1932"/>
        <v>-6984</v>
      </c>
      <c r="L1566" s="276"/>
      <c r="M1566" s="276"/>
      <c r="N1566" s="153">
        <v>236387</v>
      </c>
      <c r="O1566" s="153">
        <v>116742</v>
      </c>
      <c r="P1566" s="153">
        <v>14474</v>
      </c>
      <c r="Q1566" s="153"/>
      <c r="R1566" s="153">
        <v>47295</v>
      </c>
      <c r="S1566" s="154">
        <v>2953.6</v>
      </c>
      <c r="T1566" s="154">
        <v>85.5</v>
      </c>
      <c r="U1566" s="154"/>
      <c r="V1566" s="153">
        <v>347288</v>
      </c>
      <c r="W1566" s="153">
        <v>134737</v>
      </c>
      <c r="X1566" s="153">
        <v>121293</v>
      </c>
      <c r="Y1566" s="153">
        <v>92778</v>
      </c>
      <c r="Z1566" s="153">
        <v>231431</v>
      </c>
    </row>
    <row r="1567" spans="1:26" ht="18" hidden="1" customHeight="1" x14ac:dyDescent="0.2">
      <c r="A1567" s="279">
        <f t="shared" si="1814"/>
        <v>44418</v>
      </c>
      <c r="B1567" s="280" t="s">
        <v>192</v>
      </c>
      <c r="C1567" s="48">
        <f t="shared" ref="C1567" si="1948">(V1568-V1567)*1+(W1568-W1567)*32+(X1568-X1567)*12+(Y1568-Y1567)*6</f>
        <v>2577</v>
      </c>
      <c r="D1567" s="84">
        <f t="shared" si="1876"/>
        <v>1448</v>
      </c>
      <c r="E1567" s="45">
        <f t="shared" si="1886"/>
        <v>1799.9999999999927</v>
      </c>
      <c r="F1567" s="45">
        <f t="shared" ref="F1567" si="1949">(Z1568-Z1567)*1</f>
        <v>86</v>
      </c>
      <c r="G1567" s="79">
        <f t="shared" ref="G1567" si="1950">C1567+D1567+F1567+E1567</f>
        <v>5910.9999999999927</v>
      </c>
      <c r="H1567" s="199">
        <v>5580</v>
      </c>
      <c r="I1567" s="199">
        <v>1046</v>
      </c>
      <c r="J1567" s="200">
        <f t="shared" si="1931"/>
        <v>6626</v>
      </c>
      <c r="K1567" s="201">
        <f t="shared" si="1932"/>
        <v>715.00000000000728</v>
      </c>
      <c r="L1567" s="276"/>
      <c r="M1567" s="276"/>
      <c r="N1567" s="235">
        <v>236517</v>
      </c>
      <c r="O1567" s="235">
        <v>116824</v>
      </c>
      <c r="P1567" s="235">
        <v>14659</v>
      </c>
      <c r="Q1567" s="235"/>
      <c r="R1567" s="235">
        <v>47296</v>
      </c>
      <c r="S1567" s="236">
        <v>3000.6</v>
      </c>
      <c r="T1567" s="236">
        <v>100.9</v>
      </c>
      <c r="U1567" s="236"/>
      <c r="V1567" s="235">
        <v>348006</v>
      </c>
      <c r="W1567" s="235">
        <v>134850</v>
      </c>
      <c r="X1567" s="235">
        <v>121441</v>
      </c>
      <c r="Y1567" s="235">
        <v>92778</v>
      </c>
      <c r="Z1567" s="235">
        <v>231760</v>
      </c>
    </row>
    <row r="1568" spans="1:26" ht="18" hidden="1" customHeight="1" x14ac:dyDescent="0.2">
      <c r="A1568" s="279">
        <f t="shared" si="1814"/>
        <v>44419</v>
      </c>
      <c r="B1568" s="280" t="s">
        <v>193</v>
      </c>
      <c r="C1568" s="48">
        <f t="shared" ref="C1568" si="1951">(V1569-V1568)*1+(W1569-W1568)*32+(X1569-X1568)*12+(Y1569-Y1568)*6</f>
        <v>2742</v>
      </c>
      <c r="D1568" s="84">
        <f t="shared" si="1876"/>
        <v>1592</v>
      </c>
      <c r="E1568" s="45">
        <f t="shared" si="1886"/>
        <v>1868</v>
      </c>
      <c r="F1568" s="45">
        <f t="shared" ref="F1568" si="1952">(Z1569-Z1568)*1</f>
        <v>85</v>
      </c>
      <c r="G1568" s="79">
        <f t="shared" ref="G1568" si="1953">C1568+D1568+F1568+E1568</f>
        <v>6287</v>
      </c>
      <c r="H1568" s="199">
        <v>5651</v>
      </c>
      <c r="I1568" s="199">
        <v>1033</v>
      </c>
      <c r="J1568" s="200">
        <f t="shared" si="1931"/>
        <v>6684</v>
      </c>
      <c r="K1568" s="201">
        <f t="shared" si="1932"/>
        <v>397</v>
      </c>
      <c r="L1568" s="276"/>
      <c r="M1568" s="276"/>
      <c r="N1568" s="235">
        <v>236617</v>
      </c>
      <c r="O1568" s="235">
        <v>116865</v>
      </c>
      <c r="P1568" s="235">
        <v>14740</v>
      </c>
      <c r="Q1568" s="235"/>
      <c r="R1568" s="235">
        <v>47296</v>
      </c>
      <c r="S1568" s="236">
        <v>3022.7</v>
      </c>
      <c r="T1568" s="236">
        <v>101.7</v>
      </c>
      <c r="U1568" s="236"/>
      <c r="V1568" s="235">
        <v>348227</v>
      </c>
      <c r="W1568" s="235">
        <v>134897</v>
      </c>
      <c r="X1568" s="235">
        <v>121512</v>
      </c>
      <c r="Y1568" s="235">
        <v>92778</v>
      </c>
      <c r="Z1568" s="235">
        <v>231846</v>
      </c>
    </row>
    <row r="1569" spans="1:26" ht="18" hidden="1" customHeight="1" x14ac:dyDescent="0.2">
      <c r="A1569" s="279">
        <f t="shared" si="1814"/>
        <v>44420</v>
      </c>
      <c r="B1569" s="280" t="s">
        <v>194</v>
      </c>
      <c r="C1569" s="48">
        <f t="shared" ref="C1569" si="1954">(V1570-V1569)*1+(W1570-W1569)*32+(X1570-X1569)*12+(Y1570-Y1569)*6</f>
        <v>2772</v>
      </c>
      <c r="D1569" s="84">
        <f t="shared" si="1876"/>
        <v>1484</v>
      </c>
      <c r="E1569" s="45">
        <f t="shared" si="1886"/>
        <v>1696.0000000000146</v>
      </c>
      <c r="F1569" s="45">
        <f t="shared" ref="F1569" si="1955">(Z1570-Z1569)*1</f>
        <v>108</v>
      </c>
      <c r="G1569" s="79">
        <f t="shared" ref="G1569" si="1956">C1569+D1569+F1569+E1569</f>
        <v>6060.0000000000146</v>
      </c>
      <c r="H1569" s="199">
        <v>5591</v>
      </c>
      <c r="I1569" s="199">
        <v>1120</v>
      </c>
      <c r="J1569" s="200">
        <f t="shared" si="1931"/>
        <v>6711</v>
      </c>
      <c r="K1569" s="201">
        <f t="shared" si="1932"/>
        <v>650.99999999998545</v>
      </c>
      <c r="L1569" s="276"/>
      <c r="M1569" s="276"/>
      <c r="N1569" s="235">
        <v>236727</v>
      </c>
      <c r="O1569" s="235">
        <v>116904</v>
      </c>
      <c r="P1569" s="235">
        <v>14829</v>
      </c>
      <c r="Q1569" s="235"/>
      <c r="R1569" s="235">
        <v>47296</v>
      </c>
      <c r="S1569" s="236">
        <v>3045.2</v>
      </c>
      <c r="T1569" s="236">
        <v>103.4</v>
      </c>
      <c r="U1569" s="236"/>
      <c r="V1569" s="235">
        <v>348445</v>
      </c>
      <c r="W1569" s="235">
        <v>134947</v>
      </c>
      <c r="X1569" s="235">
        <v>121589</v>
      </c>
      <c r="Y1569" s="235">
        <v>92778</v>
      </c>
      <c r="Z1569" s="235">
        <v>231931</v>
      </c>
    </row>
    <row r="1570" spans="1:26" ht="18" hidden="1" customHeight="1" x14ac:dyDescent="0.2">
      <c r="A1570" s="279">
        <f t="shared" si="1814"/>
        <v>44421</v>
      </c>
      <c r="B1570" s="278" t="s">
        <v>189</v>
      </c>
      <c r="C1570" s="48">
        <f t="shared" ref="C1570:C1573" si="1957">(V1571-V1570)*1+(W1571-W1570)*32+(X1571-X1570)*12+(Y1571-Y1570)*6</f>
        <v>0</v>
      </c>
      <c r="D1570" s="84">
        <f t="shared" si="1876"/>
        <v>0</v>
      </c>
      <c r="E1570" s="45">
        <f t="shared" ref="E1570:E1601" si="1958">(S1571-S1570)*80+(T1571-T1570)*40</f>
        <v>0</v>
      </c>
      <c r="F1570" s="45">
        <f t="shared" ref="F1570:F1573" si="1959">(Z1571-Z1570)*1</f>
        <v>0</v>
      </c>
      <c r="G1570" s="79">
        <f t="shared" ref="G1570:G1573" si="1960">C1570+D1570+F1570+E1570</f>
        <v>0</v>
      </c>
      <c r="H1570" s="199">
        <v>4862</v>
      </c>
      <c r="I1570" s="199">
        <v>1052</v>
      </c>
      <c r="J1570" s="200">
        <f t="shared" si="1931"/>
        <v>5914</v>
      </c>
      <c r="K1570" s="201">
        <f t="shared" si="1932"/>
        <v>5914</v>
      </c>
      <c r="L1570" s="276"/>
      <c r="M1570" s="276"/>
      <c r="N1570" s="235">
        <v>236827</v>
      </c>
      <c r="O1570" s="235">
        <v>116944</v>
      </c>
      <c r="P1570" s="235">
        <v>14917</v>
      </c>
      <c r="Q1570" s="235"/>
      <c r="R1570" s="235">
        <v>47276</v>
      </c>
      <c r="S1570" s="236">
        <v>3066</v>
      </c>
      <c r="T1570" s="236">
        <v>104.2</v>
      </c>
      <c r="U1570" s="236"/>
      <c r="V1570" s="235">
        <v>348681</v>
      </c>
      <c r="W1570" s="235">
        <v>134997</v>
      </c>
      <c r="X1570" s="235">
        <v>121667</v>
      </c>
      <c r="Y1570" s="235">
        <v>92778</v>
      </c>
      <c r="Z1570" s="235">
        <v>232039</v>
      </c>
    </row>
    <row r="1571" spans="1:26" ht="18" hidden="1" customHeight="1" x14ac:dyDescent="0.2">
      <c r="A1571" s="279">
        <f t="shared" si="1814"/>
        <v>44422</v>
      </c>
      <c r="B1571" s="279" t="s">
        <v>195</v>
      </c>
      <c r="C1571" s="48">
        <f t="shared" si="1957"/>
        <v>0</v>
      </c>
      <c r="D1571" s="84">
        <f t="shared" si="1876"/>
        <v>0</v>
      </c>
      <c r="E1571" s="45">
        <f t="shared" si="1958"/>
        <v>0</v>
      </c>
      <c r="F1571" s="45">
        <f t="shared" si="1959"/>
        <v>0</v>
      </c>
      <c r="G1571" s="79">
        <f t="shared" si="1960"/>
        <v>0</v>
      </c>
      <c r="H1571" s="199">
        <v>0</v>
      </c>
      <c r="I1571" s="199">
        <f>524+764</f>
        <v>1288</v>
      </c>
      <c r="J1571" s="200">
        <f t="shared" si="1931"/>
        <v>1288</v>
      </c>
      <c r="K1571" s="201">
        <f t="shared" si="1932"/>
        <v>1288</v>
      </c>
      <c r="L1571" s="276"/>
      <c r="M1571" s="276"/>
      <c r="N1571" s="153">
        <v>236827</v>
      </c>
      <c r="O1571" s="153">
        <v>116944</v>
      </c>
      <c r="P1571" s="153">
        <v>14917</v>
      </c>
      <c r="Q1571" s="153"/>
      <c r="R1571" s="153">
        <v>47276</v>
      </c>
      <c r="S1571" s="154">
        <v>3066</v>
      </c>
      <c r="T1571" s="154">
        <v>104.2</v>
      </c>
      <c r="U1571" s="154"/>
      <c r="V1571" s="153">
        <v>348681</v>
      </c>
      <c r="W1571" s="153">
        <v>134997</v>
      </c>
      <c r="X1571" s="153">
        <v>121667</v>
      </c>
      <c r="Y1571" s="153">
        <v>92778</v>
      </c>
      <c r="Z1571" s="153">
        <v>232039</v>
      </c>
    </row>
    <row r="1572" spans="1:26" ht="18" hidden="1" customHeight="1" x14ac:dyDescent="0.2">
      <c r="A1572" s="279">
        <f t="shared" si="1814"/>
        <v>44423</v>
      </c>
      <c r="B1572" s="278" t="s">
        <v>190</v>
      </c>
      <c r="C1572" s="48">
        <f t="shared" si="1957"/>
        <v>0</v>
      </c>
      <c r="D1572" s="84">
        <f t="shared" si="1876"/>
        <v>0</v>
      </c>
      <c r="E1572" s="45">
        <f t="shared" si="1958"/>
        <v>0</v>
      </c>
      <c r="F1572" s="45">
        <f t="shared" si="1959"/>
        <v>0</v>
      </c>
      <c r="G1572" s="79">
        <f t="shared" si="1960"/>
        <v>0</v>
      </c>
      <c r="H1572" s="199">
        <v>0</v>
      </c>
      <c r="I1572" s="199">
        <v>1103</v>
      </c>
      <c r="J1572" s="200">
        <f t="shared" si="1931"/>
        <v>1103</v>
      </c>
      <c r="K1572" s="201">
        <f t="shared" si="1932"/>
        <v>1103</v>
      </c>
      <c r="L1572" s="276"/>
      <c r="M1572" s="276"/>
      <c r="N1572" s="153">
        <v>236827</v>
      </c>
      <c r="O1572" s="153">
        <v>116944</v>
      </c>
      <c r="P1572" s="153">
        <v>14917</v>
      </c>
      <c r="Q1572" s="153"/>
      <c r="R1572" s="153">
        <v>47276</v>
      </c>
      <c r="S1572" s="154">
        <v>3066</v>
      </c>
      <c r="T1572" s="154">
        <v>104.2</v>
      </c>
      <c r="U1572" s="154"/>
      <c r="V1572" s="153">
        <v>348681</v>
      </c>
      <c r="W1572" s="153">
        <v>134997</v>
      </c>
      <c r="X1572" s="153">
        <v>121667</v>
      </c>
      <c r="Y1572" s="153">
        <v>92778</v>
      </c>
      <c r="Z1572" s="153">
        <v>232039</v>
      </c>
    </row>
    <row r="1573" spans="1:26" ht="18" hidden="1" customHeight="1" x14ac:dyDescent="0.2">
      <c r="A1573" s="279">
        <f t="shared" si="1814"/>
        <v>44424</v>
      </c>
      <c r="B1573" s="280" t="s">
        <v>191</v>
      </c>
      <c r="C1573" s="48">
        <f t="shared" si="1957"/>
        <v>5966</v>
      </c>
      <c r="D1573" s="84">
        <f t="shared" si="1876"/>
        <v>3428</v>
      </c>
      <c r="E1573" s="45">
        <f t="shared" si="1958"/>
        <v>3444.0000000000146</v>
      </c>
      <c r="F1573" s="45">
        <f t="shared" si="1959"/>
        <v>430</v>
      </c>
      <c r="G1573" s="79">
        <f t="shared" si="1960"/>
        <v>13268.000000000015</v>
      </c>
      <c r="H1573" s="199">
        <v>5424</v>
      </c>
      <c r="I1573" s="199">
        <v>798</v>
      </c>
      <c r="J1573" s="200">
        <f t="shared" si="1931"/>
        <v>6222</v>
      </c>
      <c r="K1573" s="201">
        <f t="shared" si="1932"/>
        <v>-7046.0000000000146</v>
      </c>
      <c r="L1573" s="276"/>
      <c r="M1573" s="276"/>
      <c r="N1573" s="153">
        <v>236827</v>
      </c>
      <c r="O1573" s="153">
        <v>116944</v>
      </c>
      <c r="P1573" s="153">
        <v>14917</v>
      </c>
      <c r="Q1573" s="153"/>
      <c r="R1573" s="153">
        <v>47276</v>
      </c>
      <c r="S1573" s="154">
        <v>3066</v>
      </c>
      <c r="T1573" s="154">
        <v>104.2</v>
      </c>
      <c r="U1573" s="154"/>
      <c r="V1573" s="153">
        <v>348681</v>
      </c>
      <c r="W1573" s="153">
        <v>134997</v>
      </c>
      <c r="X1573" s="153">
        <v>121667</v>
      </c>
      <c r="Y1573" s="153">
        <v>92778</v>
      </c>
      <c r="Z1573" s="153">
        <v>232039</v>
      </c>
    </row>
    <row r="1574" spans="1:26" ht="18" hidden="1" customHeight="1" x14ac:dyDescent="0.2">
      <c r="A1574" s="279">
        <f t="shared" si="1814"/>
        <v>44425</v>
      </c>
      <c r="B1574" s="280" t="s">
        <v>192</v>
      </c>
      <c r="C1574" s="48">
        <f t="shared" ref="C1574:C1575" si="1961">(V1575-V1574)*1+(W1575-W1574)*32+(X1575-X1574)*12+(Y1575-Y1574)*6</f>
        <v>2558</v>
      </c>
      <c r="D1574" s="84">
        <f t="shared" si="1876"/>
        <v>1576</v>
      </c>
      <c r="E1574" s="45">
        <f t="shared" si="1958"/>
        <v>1583.9999999999923</v>
      </c>
      <c r="F1574" s="45">
        <f t="shared" ref="F1574:F1575" si="1962">(Z1575-Z1574)*1</f>
        <v>82</v>
      </c>
      <c r="G1574" s="79">
        <f t="shared" ref="G1574:G1575" si="1963">C1574+D1574+F1574+E1574</f>
        <v>5799.9999999999927</v>
      </c>
      <c r="H1574" s="199">
        <v>5406</v>
      </c>
      <c r="I1574" s="199">
        <v>1190</v>
      </c>
      <c r="J1574" s="200">
        <f t="shared" si="1931"/>
        <v>6596</v>
      </c>
      <c r="K1574" s="201">
        <f t="shared" si="1932"/>
        <v>796.00000000000728</v>
      </c>
      <c r="L1574" s="276"/>
      <c r="M1574" s="276"/>
      <c r="N1574" s="235">
        <v>237057</v>
      </c>
      <c r="O1574" s="235">
        <v>117031</v>
      </c>
      <c r="P1574" s="235">
        <v>15113</v>
      </c>
      <c r="Q1574" s="235"/>
      <c r="R1574" s="235">
        <v>47296</v>
      </c>
      <c r="S1574" s="236">
        <v>3107.8</v>
      </c>
      <c r="T1574" s="236">
        <v>106.7</v>
      </c>
      <c r="U1574" s="236"/>
      <c r="V1574" s="235">
        <v>349479</v>
      </c>
      <c r="W1574" s="235">
        <v>135109</v>
      </c>
      <c r="X1574" s="235">
        <v>121799</v>
      </c>
      <c r="Y1574" s="235">
        <v>92778</v>
      </c>
      <c r="Z1574" s="235">
        <v>232469</v>
      </c>
    </row>
    <row r="1575" spans="1:26" ht="18" hidden="1" customHeight="1" x14ac:dyDescent="0.2">
      <c r="A1575" s="279">
        <f t="shared" si="1814"/>
        <v>44426</v>
      </c>
      <c r="B1575" s="280" t="s">
        <v>193</v>
      </c>
      <c r="C1575" s="48">
        <f t="shared" si="1961"/>
        <v>2438</v>
      </c>
      <c r="D1575" s="84">
        <f t="shared" si="1876"/>
        <v>2576</v>
      </c>
      <c r="E1575" s="45">
        <f t="shared" si="1958"/>
        <v>1659.9999999999859</v>
      </c>
      <c r="F1575" s="45">
        <f t="shared" si="1962"/>
        <v>95</v>
      </c>
      <c r="G1575" s="79">
        <f t="shared" si="1963"/>
        <v>6768.9999999999854</v>
      </c>
      <c r="H1575" s="199">
        <v>5338</v>
      </c>
      <c r="I1575" s="199">
        <v>1154</v>
      </c>
      <c r="J1575" s="200">
        <f t="shared" si="1931"/>
        <v>6492</v>
      </c>
      <c r="K1575" s="201">
        <f t="shared" si="1932"/>
        <v>-276.99999999998545</v>
      </c>
      <c r="L1575" s="276"/>
      <c r="M1575" s="276"/>
      <c r="N1575" s="235">
        <v>237157</v>
      </c>
      <c r="O1575" s="235">
        <v>117074</v>
      </c>
      <c r="P1575" s="235">
        <v>15210</v>
      </c>
      <c r="Q1575" s="235"/>
      <c r="R1575" s="235">
        <v>47296</v>
      </c>
      <c r="S1575" s="236">
        <v>3127.4</v>
      </c>
      <c r="T1575" s="236">
        <v>107.1</v>
      </c>
      <c r="U1575" s="236"/>
      <c r="V1575" s="235">
        <v>349717</v>
      </c>
      <c r="W1575" s="235">
        <v>135156</v>
      </c>
      <c r="X1575" s="235">
        <v>121867</v>
      </c>
      <c r="Y1575" s="235">
        <v>92778</v>
      </c>
      <c r="Z1575" s="235">
        <v>232551</v>
      </c>
    </row>
    <row r="1576" spans="1:26" ht="18" hidden="1" customHeight="1" x14ac:dyDescent="0.2">
      <c r="A1576" s="279">
        <f t="shared" ref="A1576:A1639" si="1964">A1575+1</f>
        <v>44427</v>
      </c>
      <c r="B1576" s="280" t="s">
        <v>194</v>
      </c>
      <c r="C1576" s="48">
        <f t="shared" ref="C1576" si="1965">(V1577-V1576)*1+(W1577-W1576)*32+(X1577-X1576)*12+(Y1577-Y1576)*6</f>
        <v>2469</v>
      </c>
      <c r="D1576" s="84">
        <f t="shared" si="1876"/>
        <v>784</v>
      </c>
      <c r="E1576" s="45">
        <f t="shared" si="1958"/>
        <v>1547.9999999999927</v>
      </c>
      <c r="F1576" s="45">
        <f t="shared" ref="F1576" si="1966">(Z1577-Z1576)*1</f>
        <v>94</v>
      </c>
      <c r="G1576" s="79">
        <f t="shared" ref="G1576" si="1967">C1576+D1576+F1576+E1576</f>
        <v>4894.9999999999927</v>
      </c>
      <c r="H1576" s="199">
        <v>5338</v>
      </c>
      <c r="I1576" s="199">
        <v>1102</v>
      </c>
      <c r="J1576" s="200">
        <f t="shared" si="1931"/>
        <v>6440</v>
      </c>
      <c r="K1576" s="201">
        <f t="shared" si="1932"/>
        <v>1545.0000000000073</v>
      </c>
      <c r="L1576" s="276"/>
      <c r="M1576" s="276"/>
      <c r="N1576" s="235">
        <v>237377</v>
      </c>
      <c r="O1576" s="235">
        <v>117116</v>
      </c>
      <c r="P1576" s="235">
        <v>15312</v>
      </c>
      <c r="Q1576" s="235"/>
      <c r="R1576" s="235">
        <v>47296</v>
      </c>
      <c r="S1576" s="236">
        <v>3147.6</v>
      </c>
      <c r="T1576" s="236">
        <v>108.2</v>
      </c>
      <c r="U1576" s="236"/>
      <c r="V1576" s="235">
        <v>349947</v>
      </c>
      <c r="W1576" s="235">
        <v>135201</v>
      </c>
      <c r="X1576" s="235">
        <v>121931</v>
      </c>
      <c r="Y1576" s="235">
        <v>92778</v>
      </c>
      <c r="Z1576" s="235">
        <v>232646</v>
      </c>
    </row>
    <row r="1577" spans="1:26" ht="18" hidden="1" customHeight="1" x14ac:dyDescent="0.2">
      <c r="A1577" s="279">
        <f t="shared" si="1964"/>
        <v>44428</v>
      </c>
      <c r="B1577" s="278" t="s">
        <v>189</v>
      </c>
      <c r="C1577" s="48">
        <f t="shared" ref="C1577:C1579" si="1968">(V1578-V1577)*1+(W1578-W1577)*32+(X1578-X1577)*12+(Y1578-Y1577)*6</f>
        <v>0</v>
      </c>
      <c r="D1577" s="84">
        <f t="shared" si="1876"/>
        <v>0</v>
      </c>
      <c r="E1577" s="45">
        <f t="shared" si="1958"/>
        <v>0</v>
      </c>
      <c r="F1577" s="45">
        <f t="shared" ref="F1577:F1579" si="1969">(Z1578-Z1577)*1</f>
        <v>0</v>
      </c>
      <c r="G1577" s="79">
        <f t="shared" ref="G1577:G1579" si="1970">C1577+D1577+F1577+E1577</f>
        <v>0</v>
      </c>
      <c r="H1577" s="199">
        <v>5055</v>
      </c>
      <c r="I1577" s="199">
        <v>1023</v>
      </c>
      <c r="J1577" s="200">
        <f t="shared" si="1931"/>
        <v>6078</v>
      </c>
      <c r="K1577" s="201">
        <f t="shared" si="1932"/>
        <v>6078</v>
      </c>
      <c r="L1577" s="276"/>
      <c r="M1577" s="276"/>
      <c r="N1577" s="235">
        <v>237377</v>
      </c>
      <c r="O1577" s="235">
        <v>117156</v>
      </c>
      <c r="P1577" s="235">
        <v>15410</v>
      </c>
      <c r="Q1577" s="235"/>
      <c r="R1577" s="235">
        <v>47296</v>
      </c>
      <c r="S1577" s="236">
        <v>3166.7</v>
      </c>
      <c r="T1577" s="236">
        <v>108.7</v>
      </c>
      <c r="U1577" s="236"/>
      <c r="V1577" s="235">
        <v>350172</v>
      </c>
      <c r="W1577" s="235">
        <v>135246</v>
      </c>
      <c r="X1577" s="235">
        <v>121998</v>
      </c>
      <c r="Y1577" s="235">
        <v>92778</v>
      </c>
      <c r="Z1577" s="235">
        <v>232740</v>
      </c>
    </row>
    <row r="1578" spans="1:26" ht="18" hidden="1" customHeight="1" x14ac:dyDescent="0.2">
      <c r="A1578" s="279">
        <f t="shared" si="1964"/>
        <v>44429</v>
      </c>
      <c r="B1578" s="279" t="s">
        <v>195</v>
      </c>
      <c r="C1578" s="48">
        <f t="shared" si="1968"/>
        <v>0</v>
      </c>
      <c r="D1578" s="84">
        <f t="shared" si="1876"/>
        <v>0</v>
      </c>
      <c r="E1578" s="45">
        <f t="shared" si="1958"/>
        <v>0</v>
      </c>
      <c r="F1578" s="45">
        <f t="shared" si="1969"/>
        <v>0</v>
      </c>
      <c r="G1578" s="79">
        <f t="shared" si="1970"/>
        <v>0</v>
      </c>
      <c r="H1578" s="199">
        <v>0</v>
      </c>
      <c r="I1578" s="199">
        <f>475+680</f>
        <v>1155</v>
      </c>
      <c r="J1578" s="200">
        <f t="shared" si="1931"/>
        <v>1155</v>
      </c>
      <c r="K1578" s="201">
        <f t="shared" si="1932"/>
        <v>1155</v>
      </c>
      <c r="L1578" s="276"/>
      <c r="M1578" s="276"/>
      <c r="N1578" s="153">
        <v>237377</v>
      </c>
      <c r="O1578" s="153">
        <v>117156</v>
      </c>
      <c r="P1578" s="153">
        <v>15410</v>
      </c>
      <c r="Q1578" s="153"/>
      <c r="R1578" s="153">
        <v>47296</v>
      </c>
      <c r="S1578" s="154">
        <v>3166.7</v>
      </c>
      <c r="T1578" s="154">
        <v>108.7</v>
      </c>
      <c r="U1578" s="154"/>
      <c r="V1578" s="153">
        <v>350172</v>
      </c>
      <c r="W1578" s="153">
        <v>135246</v>
      </c>
      <c r="X1578" s="153">
        <v>121998</v>
      </c>
      <c r="Y1578" s="153">
        <v>92778</v>
      </c>
      <c r="Z1578" s="153">
        <v>232740</v>
      </c>
    </row>
    <row r="1579" spans="1:26" ht="18" hidden="1" customHeight="1" x14ac:dyDescent="0.2">
      <c r="A1579" s="279">
        <f t="shared" si="1964"/>
        <v>44430</v>
      </c>
      <c r="B1579" s="278" t="s">
        <v>190</v>
      </c>
      <c r="C1579" s="48">
        <f t="shared" si="1968"/>
        <v>3467</v>
      </c>
      <c r="D1579" s="84">
        <f t="shared" si="1876"/>
        <v>1600</v>
      </c>
      <c r="E1579" s="45">
        <f t="shared" si="1958"/>
        <v>1972.0000000000146</v>
      </c>
      <c r="F1579" s="45">
        <f t="shared" si="1969"/>
        <v>297</v>
      </c>
      <c r="G1579" s="79">
        <f t="shared" si="1970"/>
        <v>7336.0000000000146</v>
      </c>
      <c r="H1579" s="199">
        <v>0</v>
      </c>
      <c r="I1579" s="199">
        <v>1043</v>
      </c>
      <c r="J1579" s="200">
        <f t="shared" si="1931"/>
        <v>1043</v>
      </c>
      <c r="K1579" s="201">
        <f t="shared" si="1932"/>
        <v>-6293.0000000000146</v>
      </c>
      <c r="L1579" s="276"/>
      <c r="M1579" s="276"/>
      <c r="N1579" s="153">
        <v>237377</v>
      </c>
      <c r="O1579" s="153">
        <v>117156</v>
      </c>
      <c r="P1579" s="153">
        <v>15410</v>
      </c>
      <c r="Q1579" s="153"/>
      <c r="R1579" s="153">
        <v>47296</v>
      </c>
      <c r="S1579" s="154">
        <v>3166.7</v>
      </c>
      <c r="T1579" s="154">
        <v>108.7</v>
      </c>
      <c r="U1579" s="154"/>
      <c r="V1579" s="153">
        <v>350172</v>
      </c>
      <c r="W1579" s="153">
        <v>135246</v>
      </c>
      <c r="X1579" s="153">
        <v>121998</v>
      </c>
      <c r="Y1579" s="153">
        <v>92778</v>
      </c>
      <c r="Z1579" s="153">
        <v>232740</v>
      </c>
    </row>
    <row r="1580" spans="1:26" ht="18" hidden="1" customHeight="1" x14ac:dyDescent="0.2">
      <c r="A1580" s="279">
        <f t="shared" si="1964"/>
        <v>44431</v>
      </c>
      <c r="B1580" s="280" t="s">
        <v>191</v>
      </c>
      <c r="C1580" s="48">
        <f t="shared" ref="C1580" si="1971">(V1581-V1580)*1+(W1581-W1580)*32+(X1581-X1580)*12+(Y1581-Y1580)*6</f>
        <v>2586</v>
      </c>
      <c r="D1580" s="84">
        <f t="shared" si="1876"/>
        <v>1400</v>
      </c>
      <c r="E1580" s="45">
        <f t="shared" si="1958"/>
        <v>1668.0000000000068</v>
      </c>
      <c r="F1580" s="45">
        <f t="shared" ref="F1580" si="1972">(Z1581-Z1580)*1</f>
        <v>29</v>
      </c>
      <c r="G1580" s="79">
        <f t="shared" ref="G1580" si="1973">C1580+D1580+F1580+E1580</f>
        <v>5683.0000000000073</v>
      </c>
      <c r="H1580" s="199">
        <v>5262</v>
      </c>
      <c r="I1580" s="199">
        <v>699</v>
      </c>
      <c r="J1580" s="200">
        <f t="shared" si="1931"/>
        <v>5961</v>
      </c>
      <c r="K1580" s="201">
        <f t="shared" si="1932"/>
        <v>277.99999999999272</v>
      </c>
      <c r="L1580" s="276"/>
      <c r="M1580" s="276"/>
      <c r="N1580" s="235">
        <v>237477</v>
      </c>
      <c r="O1580" s="235">
        <v>117192</v>
      </c>
      <c r="P1580" s="235">
        <v>15510</v>
      </c>
      <c r="Q1580" s="235"/>
      <c r="R1580" s="235">
        <v>47296</v>
      </c>
      <c r="S1580" s="236">
        <v>3190</v>
      </c>
      <c r="T1580" s="236">
        <v>111.4</v>
      </c>
      <c r="U1580" s="236"/>
      <c r="V1580" s="235">
        <v>350695</v>
      </c>
      <c r="W1580" s="235">
        <v>135314</v>
      </c>
      <c r="X1580" s="235">
        <v>122062</v>
      </c>
      <c r="Y1580" s="235">
        <v>92778</v>
      </c>
      <c r="Z1580" s="235">
        <v>233037</v>
      </c>
    </row>
    <row r="1581" spans="1:26" ht="18" hidden="1" customHeight="1" x14ac:dyDescent="0.2">
      <c r="A1581" s="279">
        <f t="shared" si="1964"/>
        <v>44432</v>
      </c>
      <c r="B1581" s="280" t="s">
        <v>192</v>
      </c>
      <c r="C1581" s="48">
        <f t="shared" ref="C1581" si="1974">(V1582-V1581)*1+(W1582-W1581)*32+(X1582-X1581)*12+(Y1582-Y1581)*6</f>
        <v>2553</v>
      </c>
      <c r="D1581" s="84">
        <f t="shared" si="1876"/>
        <v>1336</v>
      </c>
      <c r="E1581" s="45">
        <f t="shared" si="1958"/>
        <v>1599.9999999999927</v>
      </c>
      <c r="F1581" s="45">
        <f t="shared" ref="F1581" si="1975">(Z1582-Z1581)*1</f>
        <v>58</v>
      </c>
      <c r="G1581" s="79">
        <f t="shared" ref="G1581" si="1976">C1581+D1581+F1581+E1581</f>
        <v>5546.9999999999927</v>
      </c>
      <c r="H1581" s="199">
        <v>5128</v>
      </c>
      <c r="I1581" s="199">
        <v>1023</v>
      </c>
      <c r="J1581" s="200">
        <f t="shared" si="1931"/>
        <v>6151</v>
      </c>
      <c r="K1581" s="201">
        <f t="shared" si="1932"/>
        <v>604.00000000000728</v>
      </c>
      <c r="L1581" s="276"/>
      <c r="M1581" s="276"/>
      <c r="N1581" s="235">
        <v>237557</v>
      </c>
      <c r="O1581" s="235">
        <v>117224</v>
      </c>
      <c r="P1581" s="235">
        <v>15605</v>
      </c>
      <c r="Q1581" s="235"/>
      <c r="R1581" s="235">
        <v>47296</v>
      </c>
      <c r="S1581" s="236">
        <v>3210.4</v>
      </c>
      <c r="T1581" s="236">
        <v>112.3</v>
      </c>
      <c r="U1581" s="236"/>
      <c r="V1581" s="235">
        <v>350917</v>
      </c>
      <c r="W1581" s="235">
        <v>135362</v>
      </c>
      <c r="X1581" s="235">
        <v>122131</v>
      </c>
      <c r="Y1581" s="235">
        <v>92778</v>
      </c>
      <c r="Z1581" s="235">
        <v>233066</v>
      </c>
    </row>
    <row r="1582" spans="1:26" ht="18" hidden="1" customHeight="1" x14ac:dyDescent="0.2">
      <c r="A1582" s="279">
        <f t="shared" si="1964"/>
        <v>44433</v>
      </c>
      <c r="B1582" s="280" t="s">
        <v>193</v>
      </c>
      <c r="C1582" s="48">
        <f t="shared" ref="C1582" si="1977">(V1583-V1582)*1+(W1583-W1582)*32+(X1583-X1582)*12+(Y1583-Y1582)*6</f>
        <v>2006</v>
      </c>
      <c r="D1582" s="84">
        <f t="shared" si="1876"/>
        <v>1176</v>
      </c>
      <c r="E1582" s="45">
        <f t="shared" si="1958"/>
        <v>1247.9999999999859</v>
      </c>
      <c r="F1582" s="45">
        <f t="shared" ref="F1582" si="1978">(Z1583-Z1582)*1</f>
        <v>85</v>
      </c>
      <c r="G1582" s="79">
        <f t="shared" ref="G1582" si="1979">C1582+D1582+F1582+E1582</f>
        <v>4514.9999999999854</v>
      </c>
      <c r="H1582" s="199">
        <v>3943</v>
      </c>
      <c r="I1582" s="199">
        <v>1026</v>
      </c>
      <c r="J1582" s="200">
        <f t="shared" si="1931"/>
        <v>4969</v>
      </c>
      <c r="K1582" s="201">
        <f t="shared" si="1932"/>
        <v>454.00000000001455</v>
      </c>
      <c r="L1582" s="276"/>
      <c r="M1582" s="276"/>
      <c r="N1582" s="235">
        <v>237627</v>
      </c>
      <c r="O1582" s="235">
        <v>117253</v>
      </c>
      <c r="P1582" s="235">
        <v>15702</v>
      </c>
      <c r="Q1582" s="235"/>
      <c r="R1582" s="235">
        <v>47296</v>
      </c>
      <c r="S1582" s="236">
        <v>3229.5</v>
      </c>
      <c r="T1582" s="236">
        <v>114.1</v>
      </c>
      <c r="U1582" s="236"/>
      <c r="V1582" s="235">
        <v>351154</v>
      </c>
      <c r="W1582" s="235">
        <v>135410</v>
      </c>
      <c r="X1582" s="235">
        <v>122196</v>
      </c>
      <c r="Y1582" s="235">
        <v>92778</v>
      </c>
      <c r="Z1582" s="235">
        <v>233124</v>
      </c>
    </row>
    <row r="1583" spans="1:26" ht="18" hidden="1" customHeight="1" x14ac:dyDescent="0.2">
      <c r="A1583" s="279">
        <f t="shared" si="1964"/>
        <v>44434</v>
      </c>
      <c r="B1583" s="280" t="s">
        <v>194</v>
      </c>
      <c r="C1583" s="48">
        <f t="shared" ref="C1583" si="1980">(V1584-V1583)*1+(W1584-W1583)*32+(X1584-X1583)*12+(Y1584-Y1583)*6</f>
        <v>2487</v>
      </c>
      <c r="D1583" s="84">
        <f t="shared" si="1876"/>
        <v>1472</v>
      </c>
      <c r="E1583" s="45">
        <f t="shared" si="1958"/>
        <v>1527.9999999999995</v>
      </c>
      <c r="F1583" s="45">
        <f t="shared" ref="F1583" si="1981">(Z1584-Z1583)*1</f>
        <v>16</v>
      </c>
      <c r="G1583" s="79">
        <f t="shared" ref="G1583" si="1982">C1583+D1583+F1583+E1583</f>
        <v>5503</v>
      </c>
      <c r="H1583" s="199">
        <v>4860</v>
      </c>
      <c r="I1583" s="199">
        <v>1024</v>
      </c>
      <c r="J1583" s="200">
        <f t="shared" si="1931"/>
        <v>5884</v>
      </c>
      <c r="K1583" s="201">
        <f t="shared" si="1932"/>
        <v>381</v>
      </c>
      <c r="L1583" s="276"/>
      <c r="M1583" s="276"/>
      <c r="N1583" s="235">
        <v>237687</v>
      </c>
      <c r="O1583" s="235">
        <v>117279</v>
      </c>
      <c r="P1583" s="235">
        <v>15789</v>
      </c>
      <c r="Q1583" s="235"/>
      <c r="R1583" s="235">
        <v>47296</v>
      </c>
      <c r="S1583" s="236">
        <v>3244.7</v>
      </c>
      <c r="T1583" s="236">
        <v>114.9</v>
      </c>
      <c r="U1583" s="236"/>
      <c r="V1583" s="235">
        <v>351364</v>
      </c>
      <c r="W1583" s="235">
        <v>135447</v>
      </c>
      <c r="X1583" s="235">
        <v>122247</v>
      </c>
      <c r="Y1583" s="235">
        <v>92778</v>
      </c>
      <c r="Z1583" s="235">
        <v>233209</v>
      </c>
    </row>
    <row r="1584" spans="1:26" ht="18" hidden="1" customHeight="1" x14ac:dyDescent="0.2">
      <c r="A1584" s="279">
        <f t="shared" si="1964"/>
        <v>44435</v>
      </c>
      <c r="B1584" s="278" t="s">
        <v>189</v>
      </c>
      <c r="C1584" s="48">
        <f t="shared" ref="C1584:C1586" si="1983">(V1585-V1584)*1+(W1585-W1584)*32+(X1585-X1584)*12+(Y1585-Y1584)*6</f>
        <v>0</v>
      </c>
      <c r="D1584" s="84">
        <f t="shared" si="1876"/>
        <v>0</v>
      </c>
      <c r="E1584" s="45">
        <f t="shared" si="1958"/>
        <v>0</v>
      </c>
      <c r="F1584" s="45">
        <f t="shared" ref="F1584:F1586" si="1984">(Z1585-Z1584)*1</f>
        <v>0</v>
      </c>
      <c r="G1584" s="79">
        <f t="shared" ref="G1584:G1586" si="1985">C1584+D1584+F1584+E1584</f>
        <v>0</v>
      </c>
      <c r="H1584" s="199">
        <v>4942</v>
      </c>
      <c r="I1584" s="199">
        <v>1045</v>
      </c>
      <c r="J1584" s="200">
        <f t="shared" si="1931"/>
        <v>5987</v>
      </c>
      <c r="K1584" s="201">
        <f t="shared" si="1932"/>
        <v>5987</v>
      </c>
      <c r="L1584" s="276"/>
      <c r="M1584" s="276"/>
      <c r="N1584" s="235">
        <v>237767</v>
      </c>
      <c r="O1584" s="235">
        <v>117309</v>
      </c>
      <c r="P1584" s="235">
        <v>15893</v>
      </c>
      <c r="Q1584" s="235"/>
      <c r="R1584" s="235">
        <v>47296</v>
      </c>
      <c r="S1584" s="236">
        <v>3262.2</v>
      </c>
      <c r="T1584" s="236">
        <v>118.1</v>
      </c>
      <c r="U1584" s="236"/>
      <c r="V1584" s="235">
        <v>351591</v>
      </c>
      <c r="W1584" s="235">
        <v>135494</v>
      </c>
      <c r="X1584" s="235">
        <v>122310</v>
      </c>
      <c r="Y1584" s="235">
        <v>92778</v>
      </c>
      <c r="Z1584" s="235">
        <v>233225</v>
      </c>
    </row>
    <row r="1585" spans="1:26" ht="18" hidden="1" customHeight="1" x14ac:dyDescent="0.2">
      <c r="A1585" s="279">
        <f t="shared" si="1964"/>
        <v>44436</v>
      </c>
      <c r="B1585" s="279" t="s">
        <v>195</v>
      </c>
      <c r="C1585" s="48">
        <f t="shared" si="1983"/>
        <v>0</v>
      </c>
      <c r="D1585" s="84">
        <f t="shared" si="1876"/>
        <v>0</v>
      </c>
      <c r="E1585" s="45">
        <f t="shared" si="1958"/>
        <v>0</v>
      </c>
      <c r="F1585" s="45">
        <f t="shared" si="1984"/>
        <v>0</v>
      </c>
      <c r="G1585" s="79">
        <f t="shared" si="1985"/>
        <v>0</v>
      </c>
      <c r="H1585" s="199">
        <v>0</v>
      </c>
      <c r="I1585" s="199">
        <f>843+1136</f>
        <v>1979</v>
      </c>
      <c r="J1585" s="200">
        <f t="shared" si="1931"/>
        <v>1979</v>
      </c>
      <c r="K1585" s="201">
        <f t="shared" si="1932"/>
        <v>1979</v>
      </c>
      <c r="L1585" s="276"/>
      <c r="M1585" s="276"/>
      <c r="N1585" s="153">
        <v>237767</v>
      </c>
      <c r="O1585" s="153">
        <v>117309</v>
      </c>
      <c r="P1585" s="153">
        <v>15893</v>
      </c>
      <c r="Q1585" s="153"/>
      <c r="R1585" s="153">
        <v>47296</v>
      </c>
      <c r="S1585" s="154">
        <v>3262.2</v>
      </c>
      <c r="T1585" s="154">
        <v>118.1</v>
      </c>
      <c r="U1585" s="154"/>
      <c r="V1585" s="153">
        <v>351591</v>
      </c>
      <c r="W1585" s="153">
        <v>135494</v>
      </c>
      <c r="X1585" s="153">
        <v>122310</v>
      </c>
      <c r="Y1585" s="153">
        <v>92778</v>
      </c>
      <c r="Z1585" s="153">
        <v>233225</v>
      </c>
    </row>
    <row r="1586" spans="1:26" ht="18" hidden="1" customHeight="1" x14ac:dyDescent="0.2">
      <c r="A1586" s="279">
        <f t="shared" si="1964"/>
        <v>44437</v>
      </c>
      <c r="B1586" s="278" t="s">
        <v>190</v>
      </c>
      <c r="C1586" s="48">
        <f t="shared" si="1983"/>
        <v>3422</v>
      </c>
      <c r="D1586" s="84">
        <f t="shared" si="1876"/>
        <v>3456</v>
      </c>
      <c r="E1586" s="45">
        <f t="shared" si="1958"/>
        <v>1816.0000000000218</v>
      </c>
      <c r="F1586" s="45">
        <f t="shared" si="1984"/>
        <v>457</v>
      </c>
      <c r="G1586" s="79">
        <f t="shared" si="1985"/>
        <v>9151.0000000000218</v>
      </c>
      <c r="H1586" s="199">
        <v>0</v>
      </c>
      <c r="I1586" s="199">
        <v>2003</v>
      </c>
      <c r="J1586" s="200">
        <f t="shared" si="1931"/>
        <v>2003</v>
      </c>
      <c r="K1586" s="201">
        <f t="shared" si="1932"/>
        <v>-7148.0000000000218</v>
      </c>
      <c r="L1586" s="276"/>
      <c r="M1586" s="276"/>
      <c r="N1586" s="153">
        <v>237767</v>
      </c>
      <c r="O1586" s="153">
        <v>117309</v>
      </c>
      <c r="P1586" s="153">
        <v>15893</v>
      </c>
      <c r="Q1586" s="153"/>
      <c r="R1586" s="153">
        <v>47296</v>
      </c>
      <c r="S1586" s="154">
        <v>3262.2</v>
      </c>
      <c r="T1586" s="154">
        <v>118.1</v>
      </c>
      <c r="U1586" s="154"/>
      <c r="V1586" s="153">
        <v>351591</v>
      </c>
      <c r="W1586" s="153">
        <v>135494</v>
      </c>
      <c r="X1586" s="153">
        <v>122310</v>
      </c>
      <c r="Y1586" s="153">
        <v>92778</v>
      </c>
      <c r="Z1586" s="153">
        <v>233225</v>
      </c>
    </row>
    <row r="1587" spans="1:26" ht="18" hidden="1" customHeight="1" x14ac:dyDescent="0.2">
      <c r="A1587" s="279">
        <f t="shared" si="1964"/>
        <v>44438</v>
      </c>
      <c r="B1587" s="280" t="s">
        <v>191</v>
      </c>
      <c r="C1587" s="48">
        <f t="shared" ref="C1587" si="1986">(V1588-V1587)*1+(W1588-W1587)*32+(X1588-X1587)*12+(Y1588-Y1587)*6</f>
        <v>2778</v>
      </c>
      <c r="D1587" s="84">
        <f t="shared" si="1876"/>
        <v>2352</v>
      </c>
      <c r="E1587" s="45">
        <f t="shared" si="1958"/>
        <v>1388</v>
      </c>
      <c r="F1587" s="45">
        <f t="shared" ref="F1587" si="1987">(Z1588-Z1587)*1</f>
        <v>83</v>
      </c>
      <c r="G1587" s="79">
        <f t="shared" ref="G1587" si="1988">C1587+D1587+F1587+E1587</f>
        <v>6601</v>
      </c>
      <c r="H1587" s="199">
        <v>5112</v>
      </c>
      <c r="I1587" s="199">
        <v>956</v>
      </c>
      <c r="J1587" s="200">
        <f t="shared" si="1931"/>
        <v>6068</v>
      </c>
      <c r="K1587" s="201">
        <f t="shared" si="1932"/>
        <v>-533</v>
      </c>
      <c r="L1587" s="276"/>
      <c r="M1587" s="276"/>
      <c r="N1587" s="235">
        <v>237967</v>
      </c>
      <c r="O1587" s="235">
        <v>117390</v>
      </c>
      <c r="P1587" s="235">
        <v>16125</v>
      </c>
      <c r="Q1587" s="235"/>
      <c r="R1587" s="235">
        <v>47296</v>
      </c>
      <c r="S1587" s="236">
        <v>3282.9</v>
      </c>
      <c r="T1587" s="236">
        <v>122.1</v>
      </c>
      <c r="U1587" s="236"/>
      <c r="V1587" s="235">
        <v>352137</v>
      </c>
      <c r="W1587" s="235">
        <v>135561</v>
      </c>
      <c r="X1587" s="235">
        <v>122371</v>
      </c>
      <c r="Y1587" s="235">
        <v>92778</v>
      </c>
      <c r="Z1587" s="235">
        <v>233682</v>
      </c>
    </row>
    <row r="1588" spans="1:26" ht="18" hidden="1" customHeight="1" x14ac:dyDescent="0.2">
      <c r="A1588" s="279">
        <f t="shared" si="1964"/>
        <v>44439</v>
      </c>
      <c r="B1588" s="280" t="s">
        <v>192</v>
      </c>
      <c r="C1588" s="48">
        <f t="shared" ref="C1588" si="1989">(V1589-V1588)*1+(W1589-W1588)*32+(X1589-X1588)*12+(Y1589-Y1588)*6</f>
        <v>2329</v>
      </c>
      <c r="D1588" s="84">
        <f t="shared" si="1876"/>
        <v>1568</v>
      </c>
      <c r="E1588" s="45">
        <f t="shared" si="1958"/>
        <v>1411.9999999999782</v>
      </c>
      <c r="F1588" s="45">
        <f t="shared" ref="F1588" si="1990">(Z1589-Z1588)*1</f>
        <v>100</v>
      </c>
      <c r="G1588" s="79">
        <f t="shared" ref="G1588" si="1991">C1588+D1588+F1588+E1588</f>
        <v>5408.9999999999782</v>
      </c>
      <c r="H1588" s="199">
        <v>4967</v>
      </c>
      <c r="I1588" s="199">
        <v>1124</v>
      </c>
      <c r="J1588" s="200">
        <f t="shared" si="1931"/>
        <v>6091</v>
      </c>
      <c r="K1588" s="201">
        <f t="shared" si="1932"/>
        <v>682.00000000002183</v>
      </c>
      <c r="L1588" s="276"/>
      <c r="M1588" s="276"/>
      <c r="N1588" s="235">
        <v>238167</v>
      </c>
      <c r="O1588" s="235">
        <v>117427</v>
      </c>
      <c r="P1588" s="235">
        <v>16219</v>
      </c>
      <c r="Q1588" s="235"/>
      <c r="R1588" s="235">
        <v>47296</v>
      </c>
      <c r="S1588" s="236">
        <v>3299.9</v>
      </c>
      <c r="T1588" s="236">
        <v>122.8</v>
      </c>
      <c r="U1588" s="236"/>
      <c r="V1588" s="235">
        <v>352379</v>
      </c>
      <c r="W1588" s="235">
        <v>135611</v>
      </c>
      <c r="X1588" s="235">
        <v>122449</v>
      </c>
      <c r="Y1588" s="235">
        <v>92778</v>
      </c>
      <c r="Z1588" s="235">
        <v>233765</v>
      </c>
    </row>
    <row r="1589" spans="1:26" ht="18" hidden="1" customHeight="1" thickTop="1" x14ac:dyDescent="0.2">
      <c r="A1589" s="279">
        <f t="shared" si="1964"/>
        <v>44440</v>
      </c>
      <c r="B1589" s="280" t="s">
        <v>193</v>
      </c>
      <c r="C1589" s="48">
        <f t="shared" ref="C1589" si="1992">(V1590-V1589)*1+(W1590-W1589)*32+(X1590-X1589)*12+(Y1590-Y1589)*6</f>
        <v>2687</v>
      </c>
      <c r="D1589" s="84">
        <f t="shared" si="1876"/>
        <v>1720</v>
      </c>
      <c r="E1589" s="45">
        <f t="shared" si="1958"/>
        <v>1524.0000000000293</v>
      </c>
      <c r="F1589" s="45">
        <f t="shared" ref="F1589" si="1993">(Z1590-Z1589)*1</f>
        <v>99</v>
      </c>
      <c r="G1589" s="79">
        <f t="shared" ref="G1589" si="1994">C1589+D1589+F1589+E1589</f>
        <v>6030.0000000000291</v>
      </c>
      <c r="H1589" s="199">
        <v>5110</v>
      </c>
      <c r="I1589" s="199">
        <v>0</v>
      </c>
      <c r="J1589" s="200">
        <f t="shared" ref="J1589:J1619" si="1995">H1589+I1589</f>
        <v>5110</v>
      </c>
      <c r="K1589" s="201">
        <f t="shared" ref="K1589:K1619" si="1996">J1589-G1589</f>
        <v>-920.0000000000291</v>
      </c>
      <c r="L1589" s="276">
        <v>509</v>
      </c>
      <c r="M1589" s="249">
        <v>0.38541666666666669</v>
      </c>
      <c r="N1589" s="235">
        <v>238267</v>
      </c>
      <c r="O1589" s="235">
        <v>117469</v>
      </c>
      <c r="P1589" s="235">
        <v>16315</v>
      </c>
      <c r="Q1589" s="235"/>
      <c r="R1589" s="235">
        <v>47296</v>
      </c>
      <c r="S1589" s="236">
        <v>3317.2</v>
      </c>
      <c r="T1589" s="236">
        <v>123.5</v>
      </c>
      <c r="U1589" s="236"/>
      <c r="V1589" s="235">
        <v>352592</v>
      </c>
      <c r="W1589" s="235">
        <v>135658</v>
      </c>
      <c r="X1589" s="235">
        <v>122500</v>
      </c>
      <c r="Y1589" s="235">
        <v>92778</v>
      </c>
      <c r="Z1589" s="235">
        <v>233865</v>
      </c>
    </row>
    <row r="1590" spans="1:26" ht="18" hidden="1" customHeight="1" x14ac:dyDescent="0.2">
      <c r="A1590" s="279">
        <f t="shared" si="1964"/>
        <v>44441</v>
      </c>
      <c r="B1590" s="280" t="s">
        <v>194</v>
      </c>
      <c r="C1590" s="48">
        <f t="shared" ref="C1590" si="1997">(V1591-V1590)*1+(W1591-W1590)*32+(X1591-X1590)*12+(Y1591-Y1590)*6</f>
        <v>2061</v>
      </c>
      <c r="D1590" s="84">
        <f t="shared" si="1876"/>
        <v>872</v>
      </c>
      <c r="E1590" s="45">
        <f t="shared" si="1958"/>
        <v>1555.9999999999707</v>
      </c>
      <c r="F1590" s="45">
        <f t="shared" ref="F1590" si="1998">(Z1591-Z1590)*1</f>
        <v>97</v>
      </c>
      <c r="G1590" s="79">
        <f t="shared" ref="G1590" si="1999">C1590+D1590+F1590+E1590</f>
        <v>4585.9999999999709</v>
      </c>
      <c r="H1590" s="199">
        <v>4531</v>
      </c>
      <c r="I1590" s="199">
        <v>0</v>
      </c>
      <c r="J1590" s="200">
        <f t="shared" si="1995"/>
        <v>4531</v>
      </c>
      <c r="K1590" s="201">
        <f t="shared" si="1996"/>
        <v>-54.999999999970896</v>
      </c>
      <c r="L1590" s="276">
        <v>498</v>
      </c>
      <c r="M1590" s="249">
        <v>0.58333333333333337</v>
      </c>
      <c r="N1590" s="235">
        <v>238377</v>
      </c>
      <c r="O1590" s="235">
        <v>117512</v>
      </c>
      <c r="P1590" s="235">
        <v>16420</v>
      </c>
      <c r="Q1590" s="235"/>
      <c r="R1590" s="235">
        <v>47296</v>
      </c>
      <c r="S1590" s="236">
        <v>3333.8</v>
      </c>
      <c r="T1590" s="236">
        <v>128.4</v>
      </c>
      <c r="U1590" s="236"/>
      <c r="V1590" s="235">
        <v>352823</v>
      </c>
      <c r="W1590" s="235">
        <v>135707</v>
      </c>
      <c r="X1590" s="235">
        <v>122574</v>
      </c>
      <c r="Y1590" s="235">
        <v>92778</v>
      </c>
      <c r="Z1590" s="235">
        <v>233964</v>
      </c>
    </row>
    <row r="1591" spans="1:26" ht="18" hidden="1" customHeight="1" x14ac:dyDescent="0.2">
      <c r="A1591" s="279">
        <f t="shared" si="1964"/>
        <v>44442</v>
      </c>
      <c r="B1591" s="278" t="s">
        <v>189</v>
      </c>
      <c r="C1591" s="48">
        <f t="shared" ref="C1591:C1593" si="2000">(V1592-V1591)*1+(W1592-W1591)*32+(X1592-X1591)*12+(Y1592-Y1591)*6</f>
        <v>0</v>
      </c>
      <c r="D1591" s="84">
        <f t="shared" si="1876"/>
        <v>0</v>
      </c>
      <c r="E1591" s="45">
        <f t="shared" si="1958"/>
        <v>0</v>
      </c>
      <c r="F1591" s="45">
        <f t="shared" ref="F1591:F1593" si="2001">(Z1592-Z1591)*1</f>
        <v>0</v>
      </c>
      <c r="G1591" s="79">
        <f t="shared" ref="G1591:G1593" si="2002">C1591+D1591+F1591+E1591</f>
        <v>0</v>
      </c>
      <c r="H1591" s="199">
        <v>4682</v>
      </c>
      <c r="I1591" s="199">
        <v>0</v>
      </c>
      <c r="J1591" s="200">
        <f t="shared" si="1995"/>
        <v>4682</v>
      </c>
      <c r="K1591" s="201">
        <f t="shared" si="1996"/>
        <v>4682</v>
      </c>
      <c r="L1591" s="276">
        <v>499</v>
      </c>
      <c r="M1591" s="249">
        <v>0.39583333333333331</v>
      </c>
      <c r="N1591" s="235">
        <v>238387</v>
      </c>
      <c r="O1591" s="235">
        <v>117555</v>
      </c>
      <c r="P1591" s="235">
        <v>16519</v>
      </c>
      <c r="Q1591" s="235"/>
      <c r="R1591" s="235">
        <v>47296</v>
      </c>
      <c r="S1591" s="236">
        <v>3350.2</v>
      </c>
      <c r="T1591" s="236">
        <v>134.5</v>
      </c>
      <c r="U1591" s="236"/>
      <c r="V1591" s="235">
        <v>353040</v>
      </c>
      <c r="W1591" s="235">
        <v>135747</v>
      </c>
      <c r="X1591" s="235">
        <v>122621</v>
      </c>
      <c r="Y1591" s="235">
        <v>92778</v>
      </c>
      <c r="Z1591" s="235">
        <v>234061</v>
      </c>
    </row>
    <row r="1592" spans="1:26" ht="18" hidden="1" customHeight="1" x14ac:dyDescent="0.2">
      <c r="A1592" s="279">
        <f t="shared" si="1964"/>
        <v>44443</v>
      </c>
      <c r="B1592" s="279" t="s">
        <v>195</v>
      </c>
      <c r="C1592" s="48">
        <f t="shared" si="2000"/>
        <v>0</v>
      </c>
      <c r="D1592" s="84">
        <f t="shared" si="1876"/>
        <v>0</v>
      </c>
      <c r="E1592" s="45">
        <f t="shared" si="1958"/>
        <v>0</v>
      </c>
      <c r="F1592" s="45">
        <f t="shared" si="2001"/>
        <v>0</v>
      </c>
      <c r="G1592" s="79">
        <f t="shared" si="2002"/>
        <v>0</v>
      </c>
      <c r="H1592" s="199">
        <v>0</v>
      </c>
      <c r="I1592" s="199">
        <f>842+1167</f>
        <v>2009</v>
      </c>
      <c r="J1592" s="200">
        <f t="shared" si="1995"/>
        <v>2009</v>
      </c>
      <c r="K1592" s="201">
        <f t="shared" si="1996"/>
        <v>2009</v>
      </c>
      <c r="L1592" s="276">
        <v>109</v>
      </c>
      <c r="M1592" s="249">
        <v>0.15625</v>
      </c>
      <c r="N1592" s="153">
        <v>238387</v>
      </c>
      <c r="O1592" s="153">
        <v>117555</v>
      </c>
      <c r="P1592" s="153">
        <v>16519</v>
      </c>
      <c r="Q1592" s="153"/>
      <c r="R1592" s="153">
        <v>47296</v>
      </c>
      <c r="S1592" s="154">
        <v>3350.2</v>
      </c>
      <c r="T1592" s="154">
        <v>134.5</v>
      </c>
      <c r="U1592" s="154"/>
      <c r="V1592" s="153">
        <v>353040</v>
      </c>
      <c r="W1592" s="153">
        <v>135747</v>
      </c>
      <c r="X1592" s="153">
        <v>122621</v>
      </c>
      <c r="Y1592" s="153">
        <v>92778</v>
      </c>
      <c r="Z1592" s="153">
        <v>234061</v>
      </c>
    </row>
    <row r="1593" spans="1:26" ht="18" hidden="1" customHeight="1" x14ac:dyDescent="0.2">
      <c r="A1593" s="279">
        <f t="shared" si="1964"/>
        <v>44444</v>
      </c>
      <c r="B1593" s="278" t="s">
        <v>190</v>
      </c>
      <c r="C1593" s="48">
        <f t="shared" si="2000"/>
        <v>3211</v>
      </c>
      <c r="D1593" s="84">
        <f t="shared" si="1876"/>
        <v>3880</v>
      </c>
      <c r="E1593" s="45">
        <f t="shared" si="1958"/>
        <v>1736.0000000000286</v>
      </c>
      <c r="F1593" s="45">
        <f t="shared" si="2001"/>
        <v>366</v>
      </c>
      <c r="G1593" s="79">
        <f t="shared" si="2002"/>
        <v>9193.0000000000291</v>
      </c>
      <c r="H1593" s="199">
        <v>0</v>
      </c>
      <c r="I1593" s="199">
        <v>2100</v>
      </c>
      <c r="J1593" s="200">
        <f t="shared" si="1995"/>
        <v>2100</v>
      </c>
      <c r="K1593" s="201">
        <f t="shared" si="1996"/>
        <v>-7093.0000000000291</v>
      </c>
      <c r="L1593" s="276">
        <v>121</v>
      </c>
      <c r="M1593" s="249">
        <v>0.8125</v>
      </c>
      <c r="N1593" s="153">
        <v>238387</v>
      </c>
      <c r="O1593" s="153">
        <v>117555</v>
      </c>
      <c r="P1593" s="153">
        <v>16519</v>
      </c>
      <c r="Q1593" s="153"/>
      <c r="R1593" s="153">
        <v>47296</v>
      </c>
      <c r="S1593" s="154">
        <v>3350.2</v>
      </c>
      <c r="T1593" s="154">
        <v>134.5</v>
      </c>
      <c r="U1593" s="154"/>
      <c r="V1593" s="153">
        <v>353040</v>
      </c>
      <c r="W1593" s="153">
        <v>135747</v>
      </c>
      <c r="X1593" s="153">
        <v>122621</v>
      </c>
      <c r="Y1593" s="153">
        <v>92778</v>
      </c>
      <c r="Z1593" s="153">
        <v>234061</v>
      </c>
    </row>
    <row r="1594" spans="1:26" ht="18" hidden="1" customHeight="1" x14ac:dyDescent="0.2">
      <c r="A1594" s="279">
        <f t="shared" si="1964"/>
        <v>44445</v>
      </c>
      <c r="B1594" s="280" t="s">
        <v>191</v>
      </c>
      <c r="C1594" s="48">
        <f t="shared" ref="C1594" si="2003">(V1595-V1594)*1+(W1595-W1594)*32+(X1595-X1594)*12+(Y1595-Y1594)*6</f>
        <v>2673</v>
      </c>
      <c r="D1594" s="84">
        <f t="shared" si="1876"/>
        <v>1560</v>
      </c>
      <c r="E1594" s="45">
        <f t="shared" si="1958"/>
        <v>1431.9999999999709</v>
      </c>
      <c r="F1594" s="45">
        <f t="shared" ref="F1594" si="2004">(Z1595-Z1594)*1</f>
        <v>117</v>
      </c>
      <c r="G1594" s="79">
        <f t="shared" ref="G1594" si="2005">C1594+D1594+F1594+E1594</f>
        <v>5781.9999999999709</v>
      </c>
      <c r="H1594" s="199">
        <v>5154</v>
      </c>
      <c r="I1594" s="199">
        <v>1013</v>
      </c>
      <c r="J1594" s="200">
        <f t="shared" si="1995"/>
        <v>6167</v>
      </c>
      <c r="K1594" s="201">
        <f t="shared" si="1996"/>
        <v>385.0000000000291</v>
      </c>
      <c r="L1594" s="276">
        <v>508</v>
      </c>
      <c r="M1594" s="249">
        <v>0.40625</v>
      </c>
      <c r="N1594" s="235">
        <v>238637</v>
      </c>
      <c r="O1594" s="235">
        <v>117649</v>
      </c>
      <c r="P1594" s="235">
        <v>16754</v>
      </c>
      <c r="Q1594" s="235"/>
      <c r="R1594" s="235">
        <v>47296</v>
      </c>
      <c r="S1594" s="236">
        <v>3369.8</v>
      </c>
      <c r="T1594" s="236">
        <v>138.69999999999999</v>
      </c>
      <c r="U1594" s="236"/>
      <c r="V1594" s="235">
        <v>353563</v>
      </c>
      <c r="W1594" s="235">
        <v>135810</v>
      </c>
      <c r="X1594" s="235">
        <v>122677</v>
      </c>
      <c r="Y1594" s="235">
        <v>92778</v>
      </c>
      <c r="Z1594" s="235">
        <v>234427</v>
      </c>
    </row>
    <row r="1595" spans="1:26" ht="18" hidden="1" customHeight="1" x14ac:dyDescent="0.2">
      <c r="A1595" s="279">
        <f t="shared" si="1964"/>
        <v>44446</v>
      </c>
      <c r="B1595" s="280" t="s">
        <v>192</v>
      </c>
      <c r="C1595" s="48">
        <f t="shared" ref="C1595" si="2006">(V1596-V1595)*1+(W1596-W1595)*32+(X1596-X1595)*12+(Y1596-Y1595)*6</f>
        <v>2572</v>
      </c>
      <c r="D1595" s="84">
        <f t="shared" si="1876"/>
        <v>1576</v>
      </c>
      <c r="E1595" s="45">
        <f t="shared" si="1958"/>
        <v>1212.0000000000221</v>
      </c>
      <c r="F1595" s="45">
        <f t="shared" ref="F1595" si="2007">(Z1596-Z1595)*1</f>
        <v>93</v>
      </c>
      <c r="G1595" s="79">
        <f t="shared" ref="G1595" si="2008">C1595+D1595+F1595+E1595</f>
        <v>5453.0000000000218</v>
      </c>
      <c r="H1595" s="199">
        <v>4877</v>
      </c>
      <c r="I1595" s="199">
        <v>1132</v>
      </c>
      <c r="J1595" s="200">
        <f t="shared" si="1995"/>
        <v>6009</v>
      </c>
      <c r="K1595" s="201">
        <f t="shared" si="1996"/>
        <v>555.99999999997817</v>
      </c>
      <c r="L1595" s="276">
        <v>472</v>
      </c>
      <c r="M1595" s="249">
        <v>0.40625</v>
      </c>
      <c r="N1595" s="235">
        <v>238737</v>
      </c>
      <c r="O1595" s="235">
        <v>117689</v>
      </c>
      <c r="P1595" s="235">
        <v>16849</v>
      </c>
      <c r="Q1595" s="235"/>
      <c r="R1595" s="235">
        <v>47296</v>
      </c>
      <c r="S1595" s="236">
        <v>3386.7</v>
      </c>
      <c r="T1595" s="236">
        <v>140.69999999999999</v>
      </c>
      <c r="U1595" s="236"/>
      <c r="V1595" s="235">
        <v>353796</v>
      </c>
      <c r="W1595" s="235">
        <v>135860</v>
      </c>
      <c r="X1595" s="235">
        <v>122747</v>
      </c>
      <c r="Y1595" s="235">
        <v>92778</v>
      </c>
      <c r="Z1595" s="235">
        <v>234544</v>
      </c>
    </row>
    <row r="1596" spans="1:26" ht="18" hidden="1" customHeight="1" x14ac:dyDescent="0.2">
      <c r="A1596" s="279">
        <f t="shared" si="1964"/>
        <v>44447</v>
      </c>
      <c r="B1596" s="280" t="s">
        <v>193</v>
      </c>
      <c r="C1596" s="48">
        <f t="shared" ref="C1596" si="2009">(V1597-V1596)*1+(W1597-W1596)*32+(X1597-X1596)*12+(Y1597-Y1596)*6</f>
        <v>2591</v>
      </c>
      <c r="D1596" s="84">
        <f t="shared" si="1876"/>
        <v>1472</v>
      </c>
      <c r="E1596" s="45">
        <f t="shared" si="1958"/>
        <v>1347.9999999999779</v>
      </c>
      <c r="F1596" s="45">
        <f t="shared" ref="F1596" si="2010">(Z1597-Z1596)*1</f>
        <v>41</v>
      </c>
      <c r="G1596" s="79">
        <f t="shared" ref="G1596" si="2011">C1596+D1596+F1596+E1596</f>
        <v>5451.9999999999782</v>
      </c>
      <c r="H1596" s="199">
        <v>5008</v>
      </c>
      <c r="I1596" s="199">
        <v>1102</v>
      </c>
      <c r="J1596" s="200">
        <f t="shared" si="1995"/>
        <v>6110</v>
      </c>
      <c r="K1596" s="201">
        <f t="shared" si="1996"/>
        <v>658.00000000002183</v>
      </c>
      <c r="L1596" s="276">
        <v>487</v>
      </c>
      <c r="M1596" s="249">
        <v>0.46875</v>
      </c>
      <c r="N1596" s="235">
        <v>238837</v>
      </c>
      <c r="O1596" s="235">
        <v>117728</v>
      </c>
      <c r="P1596" s="235">
        <v>16946</v>
      </c>
      <c r="Q1596" s="235"/>
      <c r="R1596" s="235">
        <v>47296</v>
      </c>
      <c r="S1596" s="236">
        <v>3401.4</v>
      </c>
      <c r="T1596" s="236">
        <v>141.6</v>
      </c>
      <c r="U1596" s="236"/>
      <c r="V1596" s="235">
        <v>354032</v>
      </c>
      <c r="W1596" s="235">
        <v>135909</v>
      </c>
      <c r="X1596" s="235">
        <v>122811</v>
      </c>
      <c r="Y1596" s="235">
        <v>92778</v>
      </c>
      <c r="Z1596" s="235">
        <v>234637</v>
      </c>
    </row>
    <row r="1597" spans="1:26" ht="18" hidden="1" customHeight="1" x14ac:dyDescent="0.2">
      <c r="A1597" s="279">
        <f t="shared" si="1964"/>
        <v>44448</v>
      </c>
      <c r="B1597" s="280" t="s">
        <v>194</v>
      </c>
      <c r="C1597" s="48">
        <f t="shared" ref="C1597" si="2012">(V1598-V1597)*1+(W1598-W1597)*32+(X1598-X1597)*12+(Y1598-Y1597)*6</f>
        <v>2507</v>
      </c>
      <c r="D1597" s="84">
        <f t="shared" ref="D1597:D1660" si="2013">(N1598-N1597)*8+(P1598-P1597)*8+(R1598-R1597)*1</f>
        <v>1448</v>
      </c>
      <c r="E1597" s="45">
        <f t="shared" si="1958"/>
        <v>1304.0000000000009</v>
      </c>
      <c r="F1597" s="45">
        <f t="shared" ref="F1597" si="2014">(Z1598-Z1597)*1</f>
        <v>153</v>
      </c>
      <c r="G1597" s="79">
        <f t="shared" ref="G1597" si="2015">C1597+D1597+F1597+E1597</f>
        <v>5412.0000000000009</v>
      </c>
      <c r="H1597" s="199">
        <v>4741</v>
      </c>
      <c r="I1597" s="199">
        <v>1074</v>
      </c>
      <c r="J1597" s="200">
        <f t="shared" si="1995"/>
        <v>5815</v>
      </c>
      <c r="K1597" s="201">
        <f t="shared" si="1996"/>
        <v>402.99999999999909</v>
      </c>
      <c r="L1597" s="276">
        <v>478</v>
      </c>
      <c r="M1597" s="249">
        <v>0.375</v>
      </c>
      <c r="N1597" s="235">
        <v>238927</v>
      </c>
      <c r="O1597" s="235">
        <v>117764</v>
      </c>
      <c r="P1597" s="235">
        <v>17040</v>
      </c>
      <c r="Q1597" s="235"/>
      <c r="R1597" s="235">
        <v>47296</v>
      </c>
      <c r="S1597" s="236">
        <v>3417.7</v>
      </c>
      <c r="T1597" s="236">
        <v>142.69999999999999</v>
      </c>
      <c r="U1597" s="236"/>
      <c r="V1597" s="235">
        <v>354267</v>
      </c>
      <c r="W1597" s="235">
        <v>135956</v>
      </c>
      <c r="X1597" s="235">
        <v>122882</v>
      </c>
      <c r="Y1597" s="235">
        <v>92778</v>
      </c>
      <c r="Z1597" s="235">
        <v>234678</v>
      </c>
    </row>
    <row r="1598" spans="1:26" ht="18" hidden="1" customHeight="1" x14ac:dyDescent="0.2">
      <c r="A1598" s="279">
        <f t="shared" si="1964"/>
        <v>44449</v>
      </c>
      <c r="B1598" s="278" t="s">
        <v>189</v>
      </c>
      <c r="C1598" s="48">
        <f t="shared" ref="C1598" si="2016">(V1599-V1598)*1+(W1599-W1598)*32+(X1599-X1598)*12+(Y1599-Y1598)*6</f>
        <v>2542</v>
      </c>
      <c r="D1598" s="84">
        <f t="shared" si="2013"/>
        <v>1432</v>
      </c>
      <c r="E1598" s="45">
        <f t="shared" si="1958"/>
        <v>1260.0000000000216</v>
      </c>
      <c r="F1598" s="45">
        <f t="shared" ref="F1598" si="2017">(Z1599-Z1598)*1</f>
        <v>126</v>
      </c>
      <c r="G1598" s="79">
        <f t="shared" ref="G1598" si="2018">C1598+D1598+F1598+E1598</f>
        <v>5360.0000000000218</v>
      </c>
      <c r="H1598" s="199">
        <v>4865</v>
      </c>
      <c r="I1598" s="199">
        <v>1041</v>
      </c>
      <c r="J1598" s="200">
        <f t="shared" si="1995"/>
        <v>5906</v>
      </c>
      <c r="K1598" s="201">
        <f t="shared" si="1996"/>
        <v>545.99999999997817</v>
      </c>
      <c r="L1598" s="276">
        <v>498</v>
      </c>
      <c r="M1598" s="249">
        <v>0.38541666666666669</v>
      </c>
      <c r="N1598" s="235">
        <v>239017</v>
      </c>
      <c r="O1598" s="235">
        <v>117799</v>
      </c>
      <c r="P1598" s="235">
        <v>17131</v>
      </c>
      <c r="Q1598" s="235"/>
      <c r="R1598" s="235">
        <v>47296</v>
      </c>
      <c r="S1598" s="236">
        <v>3433.7</v>
      </c>
      <c r="T1598" s="236">
        <v>143.30000000000001</v>
      </c>
      <c r="U1598" s="236"/>
      <c r="V1598" s="235">
        <v>354490</v>
      </c>
      <c r="W1598" s="235">
        <v>136006</v>
      </c>
      <c r="X1598" s="235">
        <v>122939</v>
      </c>
      <c r="Y1598" s="235">
        <v>92778</v>
      </c>
      <c r="Z1598" s="235">
        <v>234831</v>
      </c>
    </row>
    <row r="1599" spans="1:26" ht="18" hidden="1" customHeight="1" x14ac:dyDescent="0.2">
      <c r="A1599" s="279">
        <f t="shared" si="1964"/>
        <v>44450</v>
      </c>
      <c r="B1599" s="279" t="s">
        <v>195</v>
      </c>
      <c r="C1599" s="48">
        <f t="shared" ref="C1599:C1600" si="2019">(V1600-V1599)*1+(W1600-W1599)*32+(X1600-X1599)*12+(Y1600-Y1599)*6</f>
        <v>0</v>
      </c>
      <c r="D1599" s="84">
        <f t="shared" si="2013"/>
        <v>0</v>
      </c>
      <c r="E1599" s="45">
        <f t="shared" si="1958"/>
        <v>0</v>
      </c>
      <c r="F1599" s="45">
        <f t="shared" ref="F1599:F1600" si="2020">(Z1600-Z1599)*1</f>
        <v>0</v>
      </c>
      <c r="G1599" s="79">
        <f t="shared" ref="G1599:G1600" si="2021">C1599+D1599+F1599+E1599</f>
        <v>0</v>
      </c>
      <c r="H1599" s="199">
        <v>0</v>
      </c>
      <c r="I1599" s="199">
        <f>4171+965</f>
        <v>5136</v>
      </c>
      <c r="J1599" s="200">
        <f t="shared" si="1995"/>
        <v>5136</v>
      </c>
      <c r="K1599" s="201">
        <f t="shared" si="1996"/>
        <v>5136</v>
      </c>
      <c r="L1599" s="276">
        <v>478</v>
      </c>
      <c r="M1599" s="249">
        <v>0.375</v>
      </c>
      <c r="N1599" s="235">
        <v>239107</v>
      </c>
      <c r="O1599" s="235">
        <v>117833</v>
      </c>
      <c r="P1599" s="235">
        <v>17220</v>
      </c>
      <c r="Q1599" s="235"/>
      <c r="R1599" s="235">
        <v>47296</v>
      </c>
      <c r="S1599" s="236">
        <v>3448.9</v>
      </c>
      <c r="T1599" s="236">
        <v>144.4</v>
      </c>
      <c r="U1599" s="236"/>
      <c r="V1599" s="235">
        <v>354728</v>
      </c>
      <c r="W1599" s="235">
        <v>136054</v>
      </c>
      <c r="X1599" s="235">
        <v>123003</v>
      </c>
      <c r="Y1599" s="235">
        <v>92778</v>
      </c>
      <c r="Z1599" s="235">
        <v>234957</v>
      </c>
    </row>
    <row r="1600" spans="1:26" ht="18" hidden="1" customHeight="1" x14ac:dyDescent="0.2">
      <c r="A1600" s="279">
        <f t="shared" si="1964"/>
        <v>44451</v>
      </c>
      <c r="B1600" s="278" t="s">
        <v>190</v>
      </c>
      <c r="C1600" s="48">
        <f t="shared" si="2019"/>
        <v>2563</v>
      </c>
      <c r="D1600" s="84">
        <f t="shared" si="2013"/>
        <v>2472</v>
      </c>
      <c r="E1600" s="45">
        <f t="shared" si="1958"/>
        <v>1740.0000000000068</v>
      </c>
      <c r="F1600" s="45">
        <f t="shared" si="2020"/>
        <v>182</v>
      </c>
      <c r="G1600" s="79">
        <f t="shared" si="2021"/>
        <v>6957.0000000000073</v>
      </c>
      <c r="H1600" s="199">
        <v>0</v>
      </c>
      <c r="I1600" s="199">
        <v>2249</v>
      </c>
      <c r="J1600" s="200">
        <f t="shared" si="1995"/>
        <v>2249</v>
      </c>
      <c r="K1600" s="201">
        <f t="shared" si="1996"/>
        <v>-4708.0000000000073</v>
      </c>
      <c r="L1600" s="276">
        <v>118</v>
      </c>
      <c r="M1600" s="249">
        <v>0.59375</v>
      </c>
      <c r="N1600" s="153">
        <v>239107</v>
      </c>
      <c r="O1600" s="153">
        <v>117833</v>
      </c>
      <c r="P1600" s="153">
        <v>17220</v>
      </c>
      <c r="Q1600" s="153"/>
      <c r="R1600" s="153">
        <v>47296</v>
      </c>
      <c r="S1600" s="154">
        <v>3448.9</v>
      </c>
      <c r="T1600" s="154">
        <v>144.4</v>
      </c>
      <c r="U1600" s="154"/>
      <c r="V1600" s="153">
        <v>354728</v>
      </c>
      <c r="W1600" s="153">
        <v>136054</v>
      </c>
      <c r="X1600" s="153">
        <v>123003</v>
      </c>
      <c r="Y1600" s="153">
        <v>92778</v>
      </c>
      <c r="Z1600" s="153">
        <v>234957</v>
      </c>
    </row>
    <row r="1601" spans="1:27" ht="18" hidden="1" customHeight="1" x14ac:dyDescent="0.2">
      <c r="A1601" s="279">
        <f t="shared" si="1964"/>
        <v>44452</v>
      </c>
      <c r="B1601" s="280" t="s">
        <v>191</v>
      </c>
      <c r="C1601" s="48">
        <f t="shared" ref="C1601" si="2022">(V1602-V1601)*1+(W1602-W1601)*32+(X1602-X1601)*12+(Y1602-Y1601)*6</f>
        <v>2322</v>
      </c>
      <c r="D1601" s="84">
        <f t="shared" si="2013"/>
        <v>1344</v>
      </c>
      <c r="E1601" s="45">
        <f t="shared" si="1958"/>
        <v>1499.9999999999784</v>
      </c>
      <c r="F1601" s="45">
        <f t="shared" ref="F1601" si="2023">(Z1602-Z1601)*1</f>
        <v>89</v>
      </c>
      <c r="G1601" s="79">
        <f t="shared" ref="G1601" si="2024">C1601+D1601+F1601+E1601</f>
        <v>5254.9999999999782</v>
      </c>
      <c r="H1601" s="199">
        <v>4742</v>
      </c>
      <c r="I1601" s="199">
        <v>917</v>
      </c>
      <c r="J1601" s="200">
        <f t="shared" si="1995"/>
        <v>5659</v>
      </c>
      <c r="K1601" s="201">
        <f t="shared" si="1996"/>
        <v>404.00000000002183</v>
      </c>
      <c r="L1601" s="276">
        <v>521</v>
      </c>
      <c r="M1601" s="249">
        <v>0.39583333333333331</v>
      </c>
      <c r="N1601" s="235">
        <v>239257</v>
      </c>
      <c r="O1601" s="235">
        <v>117889</v>
      </c>
      <c r="P1601" s="235">
        <v>17379</v>
      </c>
      <c r="Q1601" s="235"/>
      <c r="R1601" s="235">
        <v>47296</v>
      </c>
      <c r="S1601" s="236">
        <v>3467.3</v>
      </c>
      <c r="T1601" s="236">
        <v>151.1</v>
      </c>
      <c r="U1601" s="236"/>
      <c r="V1601" s="235">
        <v>355091</v>
      </c>
      <c r="W1601" s="235">
        <v>136104</v>
      </c>
      <c r="X1601" s="235">
        <v>123053</v>
      </c>
      <c r="Y1601" s="235">
        <v>92778</v>
      </c>
      <c r="Z1601" s="235">
        <v>235139</v>
      </c>
    </row>
    <row r="1602" spans="1:27" ht="18" hidden="1" customHeight="1" x14ac:dyDescent="0.2">
      <c r="A1602" s="279">
        <f t="shared" si="1964"/>
        <v>44453</v>
      </c>
      <c r="B1602" s="280" t="s">
        <v>192</v>
      </c>
      <c r="C1602" s="48">
        <f t="shared" ref="C1602" si="2025">(V1603-V1602)*1+(W1603-W1602)*32+(X1603-X1602)*12+(Y1603-Y1602)*6</f>
        <v>2381</v>
      </c>
      <c r="D1602" s="84">
        <f t="shared" si="2013"/>
        <v>1424</v>
      </c>
      <c r="E1602" s="45">
        <f t="shared" ref="E1602:E1633" si="2026">(S1603-S1602)*80+(T1603-T1602)*40</f>
        <v>1560.0000000000148</v>
      </c>
      <c r="F1602" s="45">
        <f t="shared" ref="F1602" si="2027">(Z1603-Z1602)*1</f>
        <v>86</v>
      </c>
      <c r="G1602" s="79">
        <f t="shared" ref="G1602" si="2028">C1602+D1602+F1602+E1602</f>
        <v>5451.0000000000146</v>
      </c>
      <c r="H1602" s="199">
        <v>4900</v>
      </c>
      <c r="I1602" s="199">
        <v>1033</v>
      </c>
      <c r="J1602" s="200">
        <f t="shared" si="1995"/>
        <v>5933</v>
      </c>
      <c r="K1602" s="201">
        <f t="shared" si="1996"/>
        <v>481.99999999998545</v>
      </c>
      <c r="L1602" s="276">
        <v>494</v>
      </c>
      <c r="M1602" s="249">
        <v>0.38541666666666669</v>
      </c>
      <c r="N1602" s="235">
        <v>239337</v>
      </c>
      <c r="O1602" s="235">
        <v>117923</v>
      </c>
      <c r="P1602" s="235">
        <v>17467</v>
      </c>
      <c r="Q1602" s="235"/>
      <c r="R1602" s="235">
        <v>47296</v>
      </c>
      <c r="S1602" s="236">
        <v>3485.6</v>
      </c>
      <c r="T1602" s="236">
        <v>152</v>
      </c>
      <c r="U1602" s="236"/>
      <c r="V1602" s="235">
        <v>355305</v>
      </c>
      <c r="W1602" s="235">
        <v>136147</v>
      </c>
      <c r="X1602" s="235">
        <v>123114</v>
      </c>
      <c r="Y1602" s="235">
        <v>92778</v>
      </c>
      <c r="Z1602" s="235">
        <v>235228</v>
      </c>
    </row>
    <row r="1603" spans="1:27" ht="18" hidden="1" customHeight="1" x14ac:dyDescent="0.2">
      <c r="A1603" s="279">
        <f t="shared" si="1964"/>
        <v>44454</v>
      </c>
      <c r="B1603" s="280" t="s">
        <v>193</v>
      </c>
      <c r="C1603" s="48">
        <f t="shared" ref="C1603" si="2029">(V1604-V1603)*1+(W1604-W1603)*32+(X1604-X1603)*12+(Y1604-Y1603)*6</f>
        <v>1811</v>
      </c>
      <c r="D1603" s="84">
        <f t="shared" si="2013"/>
        <v>1416</v>
      </c>
      <c r="E1603" s="45">
        <f t="shared" si="2026"/>
        <v>1472.0000000000073</v>
      </c>
      <c r="F1603" s="45">
        <f t="shared" ref="F1603" si="2030">(Z1604-Z1603)*1</f>
        <v>86</v>
      </c>
      <c r="G1603" s="79">
        <f t="shared" ref="G1603" si="2031">C1603+D1603+F1603+E1603</f>
        <v>4785.0000000000073</v>
      </c>
      <c r="H1603" s="199">
        <v>4339</v>
      </c>
      <c r="I1603" s="199">
        <v>1031</v>
      </c>
      <c r="J1603" s="200">
        <f t="shared" si="1995"/>
        <v>5370</v>
      </c>
      <c r="K1603" s="201">
        <f t="shared" si="1996"/>
        <v>584.99999999999272</v>
      </c>
      <c r="L1603" s="276">
        <v>478</v>
      </c>
      <c r="M1603" s="249">
        <v>0.45833333333333331</v>
      </c>
      <c r="N1603" s="235">
        <v>239427</v>
      </c>
      <c r="O1603" s="235">
        <v>117957</v>
      </c>
      <c r="P1603" s="235">
        <v>17555</v>
      </c>
      <c r="Q1603" s="235"/>
      <c r="R1603" s="235">
        <v>47296</v>
      </c>
      <c r="S1603" s="236">
        <v>3504.9</v>
      </c>
      <c r="T1603" s="236">
        <v>152.4</v>
      </c>
      <c r="U1603" s="236"/>
      <c r="V1603" s="235">
        <v>355534</v>
      </c>
      <c r="W1603" s="235">
        <v>136194</v>
      </c>
      <c r="X1603" s="235">
        <v>123168</v>
      </c>
      <c r="Y1603" s="235">
        <v>92778</v>
      </c>
      <c r="Z1603" s="235">
        <v>235314</v>
      </c>
    </row>
    <row r="1604" spans="1:27" ht="18" hidden="1" customHeight="1" x14ac:dyDescent="0.2">
      <c r="A1604" s="279">
        <f t="shared" si="1964"/>
        <v>44455</v>
      </c>
      <c r="B1604" s="280" t="s">
        <v>194</v>
      </c>
      <c r="C1604" s="48">
        <f t="shared" ref="C1604:C1606" si="2032">(V1605-V1604)*1+(W1605-W1604)*32+(X1605-X1604)*12+(Y1605-Y1604)*6</f>
        <v>2621</v>
      </c>
      <c r="D1604" s="84">
        <f t="shared" si="2013"/>
        <v>2150</v>
      </c>
      <c r="E1604" s="45">
        <f t="shared" si="2026"/>
        <v>1363.9999999999782</v>
      </c>
      <c r="F1604" s="45">
        <f t="shared" ref="F1604:F1606" si="2033">(Z1605-Z1604)*1</f>
        <v>95</v>
      </c>
      <c r="G1604" s="79">
        <f t="shared" ref="G1604:G1607" si="2034">C1604+D1604+F1604+E1604</f>
        <v>6229.9999999999782</v>
      </c>
      <c r="H1604" s="199">
        <v>4805</v>
      </c>
      <c r="I1604" s="199">
        <v>1051</v>
      </c>
      <c r="J1604" s="200">
        <f t="shared" si="1995"/>
        <v>5856</v>
      </c>
      <c r="K1604" s="201">
        <f t="shared" si="1996"/>
        <v>-373.99999999997817</v>
      </c>
      <c r="L1604" s="276">
        <v>461</v>
      </c>
      <c r="M1604" s="249">
        <v>0.36458333333333331</v>
      </c>
      <c r="N1604" s="235">
        <v>239517</v>
      </c>
      <c r="O1604" s="235">
        <v>117989</v>
      </c>
      <c r="P1604" s="235">
        <v>17642</v>
      </c>
      <c r="Q1604" s="235"/>
      <c r="R1604" s="235">
        <v>47296</v>
      </c>
      <c r="S1604" s="236">
        <v>3522.8</v>
      </c>
      <c r="T1604" s="236">
        <v>153.4</v>
      </c>
      <c r="U1604" s="236"/>
      <c r="V1604" s="235">
        <v>355701</v>
      </c>
      <c r="W1604" s="235">
        <v>136233</v>
      </c>
      <c r="X1604" s="235">
        <v>123201</v>
      </c>
      <c r="Y1604" s="235">
        <v>92778</v>
      </c>
      <c r="Z1604" s="235">
        <v>235400</v>
      </c>
    </row>
    <row r="1605" spans="1:27" ht="18" hidden="1" customHeight="1" x14ac:dyDescent="0.2">
      <c r="A1605" s="279">
        <f t="shared" si="1964"/>
        <v>44456</v>
      </c>
      <c r="B1605" s="278" t="s">
        <v>189</v>
      </c>
      <c r="C1605" s="48">
        <f t="shared" si="2032"/>
        <v>0</v>
      </c>
      <c r="D1605" s="84">
        <f t="shared" si="2013"/>
        <v>0</v>
      </c>
      <c r="E1605" s="45">
        <f t="shared" si="2026"/>
        <v>0</v>
      </c>
      <c r="F1605" s="45">
        <f t="shared" si="2033"/>
        <v>0</v>
      </c>
      <c r="G1605" s="79">
        <f t="shared" si="2034"/>
        <v>0</v>
      </c>
      <c r="H1605" s="199">
        <v>4281</v>
      </c>
      <c r="I1605" s="199">
        <v>996</v>
      </c>
      <c r="J1605" s="200">
        <f t="shared" si="1995"/>
        <v>5277</v>
      </c>
      <c r="K1605" s="201">
        <f t="shared" si="1996"/>
        <v>5277</v>
      </c>
      <c r="L1605" s="276">
        <v>495</v>
      </c>
      <c r="M1605" s="249">
        <v>0.44791666666666669</v>
      </c>
      <c r="N1605" s="235">
        <v>239697</v>
      </c>
      <c r="O1605" s="235">
        <v>118021</v>
      </c>
      <c r="P1605" s="235">
        <v>17731</v>
      </c>
      <c r="Q1605" s="235"/>
      <c r="R1605" s="235">
        <v>47294</v>
      </c>
      <c r="S1605" s="236">
        <v>3539.6</v>
      </c>
      <c r="T1605" s="236">
        <v>153.9</v>
      </c>
      <c r="U1605" s="236"/>
      <c r="V1605" s="235">
        <v>355978</v>
      </c>
      <c r="W1605" s="235">
        <v>136280</v>
      </c>
      <c r="X1605" s="235">
        <v>123271</v>
      </c>
      <c r="Y1605" s="235">
        <v>92778</v>
      </c>
      <c r="Z1605" s="235">
        <v>235495</v>
      </c>
    </row>
    <row r="1606" spans="1:27" ht="18" hidden="1" customHeight="1" x14ac:dyDescent="0.2">
      <c r="A1606" s="279">
        <f t="shared" si="1964"/>
        <v>44457</v>
      </c>
      <c r="B1606" s="279" t="s">
        <v>195</v>
      </c>
      <c r="C1606" s="48">
        <f t="shared" si="2032"/>
        <v>0</v>
      </c>
      <c r="D1606" s="84">
        <f t="shared" si="2013"/>
        <v>0</v>
      </c>
      <c r="E1606" s="45">
        <f t="shared" si="2026"/>
        <v>0</v>
      </c>
      <c r="F1606" s="45">
        <f t="shared" si="2033"/>
        <v>0</v>
      </c>
      <c r="G1606" s="79">
        <f t="shared" si="2034"/>
        <v>0</v>
      </c>
      <c r="H1606" s="199">
        <v>0</v>
      </c>
      <c r="I1606" s="199">
        <f>475+641</f>
        <v>1116</v>
      </c>
      <c r="J1606" s="200">
        <f t="shared" si="1995"/>
        <v>1116</v>
      </c>
      <c r="K1606" s="201">
        <f t="shared" si="1996"/>
        <v>1116</v>
      </c>
      <c r="L1606" s="276">
        <v>92</v>
      </c>
      <c r="M1606" s="249">
        <v>7.2916666666666671E-2</v>
      </c>
      <c r="N1606" s="153">
        <v>239697</v>
      </c>
      <c r="O1606" s="153">
        <v>118021</v>
      </c>
      <c r="P1606" s="153">
        <v>17731</v>
      </c>
      <c r="Q1606" s="153"/>
      <c r="R1606" s="153">
        <v>47294</v>
      </c>
      <c r="S1606" s="154">
        <v>3539.6</v>
      </c>
      <c r="T1606" s="154">
        <v>153.9</v>
      </c>
      <c r="U1606" s="154"/>
      <c r="V1606" s="153">
        <v>355978</v>
      </c>
      <c r="W1606" s="153">
        <v>136280</v>
      </c>
      <c r="X1606" s="153">
        <v>123271</v>
      </c>
      <c r="Y1606" s="153">
        <v>92778</v>
      </c>
      <c r="Z1606" s="153">
        <v>235495</v>
      </c>
    </row>
    <row r="1607" spans="1:27" ht="18" hidden="1" customHeight="1" x14ac:dyDescent="0.2">
      <c r="A1607" s="279">
        <f t="shared" si="1964"/>
        <v>44458</v>
      </c>
      <c r="B1607" s="278" t="s">
        <v>190</v>
      </c>
      <c r="C1607" s="48">
        <f>(V1608-V1607)*1+(W1608-W1607)*32+(X1608-X1607)*12+(Y1608-Y1607)*6</f>
        <v>0</v>
      </c>
      <c r="D1607" s="84">
        <f t="shared" si="2013"/>
        <v>0</v>
      </c>
      <c r="E1607" s="45">
        <f t="shared" si="2026"/>
        <v>0</v>
      </c>
      <c r="F1607" s="45">
        <f>(Z1608-Z1607)*1</f>
        <v>0</v>
      </c>
      <c r="G1607" s="79">
        <f t="shared" si="2034"/>
        <v>0</v>
      </c>
      <c r="H1607" s="199">
        <v>0</v>
      </c>
      <c r="I1607" s="199">
        <v>714</v>
      </c>
      <c r="J1607" s="200">
        <f t="shared" si="1995"/>
        <v>714</v>
      </c>
      <c r="K1607" s="201">
        <f t="shared" si="1996"/>
        <v>714</v>
      </c>
      <c r="L1607" s="276">
        <v>39</v>
      </c>
      <c r="M1607" s="249">
        <v>0.90625</v>
      </c>
      <c r="N1607" s="153">
        <v>239697</v>
      </c>
      <c r="O1607" s="153">
        <v>118021</v>
      </c>
      <c r="P1607" s="153">
        <v>17731</v>
      </c>
      <c r="Q1607" s="153"/>
      <c r="R1607" s="153">
        <v>47294</v>
      </c>
      <c r="S1607" s="154">
        <v>3539.6</v>
      </c>
      <c r="T1607" s="154">
        <v>153.9</v>
      </c>
      <c r="U1607" s="154"/>
      <c r="V1607" s="153">
        <v>355978</v>
      </c>
      <c r="W1607" s="153">
        <v>136280</v>
      </c>
      <c r="X1607" s="153">
        <v>123271</v>
      </c>
      <c r="Y1607" s="153">
        <v>92778</v>
      </c>
      <c r="Z1607" s="153">
        <v>235495</v>
      </c>
    </row>
    <row r="1608" spans="1:27" ht="18" hidden="1" customHeight="1" x14ac:dyDescent="0.2">
      <c r="A1608" s="279">
        <f>A1607+1</f>
        <v>44459</v>
      </c>
      <c r="B1608" s="280" t="s">
        <v>191</v>
      </c>
      <c r="C1608" s="48">
        <f t="shared" ref="C1608" si="2035">(V1609-V1608)*1+(W1609-W1608)*32+(X1609-X1608)*12+(Y1609-Y1608)*6</f>
        <v>0</v>
      </c>
      <c r="D1608" s="84">
        <f t="shared" si="2013"/>
        <v>0</v>
      </c>
      <c r="E1608" s="45">
        <f t="shared" si="2026"/>
        <v>0</v>
      </c>
      <c r="F1608" s="45">
        <f t="shared" ref="F1608" si="2036">(Z1609-Z1608)*1</f>
        <v>0</v>
      </c>
      <c r="G1608" s="79">
        <f t="shared" ref="G1608" si="2037">C1608+D1608+F1608+E1608</f>
        <v>0</v>
      </c>
      <c r="H1608" s="199">
        <v>506</v>
      </c>
      <c r="I1608" s="199">
        <v>333</v>
      </c>
      <c r="J1608" s="200">
        <f t="shared" si="1995"/>
        <v>839</v>
      </c>
      <c r="K1608" s="201">
        <f t="shared" si="1996"/>
        <v>839</v>
      </c>
      <c r="L1608" s="276">
        <v>95</v>
      </c>
      <c r="M1608" s="249">
        <v>0.91666666666666663</v>
      </c>
      <c r="N1608" s="153">
        <v>239697</v>
      </c>
      <c r="O1608" s="153">
        <v>118021</v>
      </c>
      <c r="P1608" s="153">
        <v>17731</v>
      </c>
      <c r="Q1608" s="153"/>
      <c r="R1608" s="153">
        <v>47294</v>
      </c>
      <c r="S1608" s="154">
        <v>3539.6</v>
      </c>
      <c r="T1608" s="154">
        <v>153.9</v>
      </c>
      <c r="U1608" s="154"/>
      <c r="V1608" s="153">
        <v>355978</v>
      </c>
      <c r="W1608" s="153">
        <v>136280</v>
      </c>
      <c r="X1608" s="153">
        <v>123271</v>
      </c>
      <c r="Y1608" s="153">
        <v>92778</v>
      </c>
      <c r="Z1608" s="153">
        <v>235495</v>
      </c>
    </row>
    <row r="1609" spans="1:27" ht="18" hidden="1" customHeight="1" x14ac:dyDescent="0.2">
      <c r="A1609" s="279">
        <f t="shared" si="1964"/>
        <v>44460</v>
      </c>
      <c r="B1609" s="280" t="s">
        <v>192</v>
      </c>
      <c r="C1609" s="48">
        <f t="shared" ref="C1609:C1613" si="2038">(V1610-V1609)*1+(W1610-W1609)*32+(X1610-X1609)*12+(Y1610-Y1609)*6</f>
        <v>3668</v>
      </c>
      <c r="D1609" s="84">
        <f t="shared" si="2013"/>
        <v>666</v>
      </c>
      <c r="E1609" s="45">
        <f t="shared" si="2026"/>
        <v>2100.0000000000068</v>
      </c>
      <c r="F1609" s="45">
        <f t="shared" ref="F1609:F1613" si="2039">(Z1610-Z1609)*1</f>
        <v>538</v>
      </c>
      <c r="G1609" s="79">
        <f t="shared" ref="G1609:G1613" si="2040">C1609+D1609+F1609+E1609</f>
        <v>6972.0000000000073</v>
      </c>
      <c r="H1609" s="199">
        <v>0</v>
      </c>
      <c r="I1609" s="199">
        <v>1078</v>
      </c>
      <c r="J1609" s="200">
        <f t="shared" si="1995"/>
        <v>1078</v>
      </c>
      <c r="K1609" s="201">
        <f t="shared" si="1996"/>
        <v>-5894.0000000000073</v>
      </c>
      <c r="L1609" s="276">
        <v>92</v>
      </c>
      <c r="M1609" s="249">
        <v>0.27083333333333331</v>
      </c>
      <c r="N1609" s="153">
        <v>239697</v>
      </c>
      <c r="O1609" s="153">
        <v>118021</v>
      </c>
      <c r="P1609" s="153">
        <v>17731</v>
      </c>
      <c r="Q1609" s="153"/>
      <c r="R1609" s="153">
        <v>47294</v>
      </c>
      <c r="S1609" s="154">
        <v>3539.6</v>
      </c>
      <c r="T1609" s="154">
        <v>153.9</v>
      </c>
      <c r="U1609" s="154"/>
      <c r="V1609" s="153">
        <v>355978</v>
      </c>
      <c r="W1609" s="153">
        <v>136280</v>
      </c>
      <c r="X1609" s="153">
        <v>123271</v>
      </c>
      <c r="Y1609" s="153">
        <v>92778</v>
      </c>
      <c r="Z1609" s="153">
        <v>235495</v>
      </c>
    </row>
    <row r="1610" spans="1:27" ht="18" hidden="1" customHeight="1" x14ac:dyDescent="0.2">
      <c r="A1610" s="279">
        <f t="shared" si="1964"/>
        <v>44461</v>
      </c>
      <c r="B1610" s="280" t="s">
        <v>193</v>
      </c>
      <c r="C1610" s="48">
        <f t="shared" si="2038"/>
        <v>2718</v>
      </c>
      <c r="D1610" s="84">
        <f t="shared" si="2013"/>
        <v>1320</v>
      </c>
      <c r="E1610" s="45">
        <f t="shared" si="2026"/>
        <v>1403.9999999999861</v>
      </c>
      <c r="F1610" s="45">
        <f t="shared" si="2039"/>
        <v>110</v>
      </c>
      <c r="G1610" s="79">
        <f t="shared" si="2040"/>
        <v>5551.9999999999864</v>
      </c>
      <c r="H1610" s="199">
        <v>4884</v>
      </c>
      <c r="I1610" s="199">
        <v>646</v>
      </c>
      <c r="J1610" s="200">
        <f t="shared" si="1995"/>
        <v>5530</v>
      </c>
      <c r="K1610" s="201">
        <f t="shared" si="1996"/>
        <v>-21.999999999986358</v>
      </c>
      <c r="L1610" s="276">
        <v>471</v>
      </c>
      <c r="M1610" s="249">
        <v>0.27083333333333331</v>
      </c>
      <c r="N1610" s="235">
        <v>239682</v>
      </c>
      <c r="O1610" s="235">
        <v>118053</v>
      </c>
      <c r="P1610" s="235">
        <v>17829</v>
      </c>
      <c r="Q1610" s="235"/>
      <c r="R1610" s="235">
        <v>47296</v>
      </c>
      <c r="S1610" s="236">
        <v>3563.5</v>
      </c>
      <c r="T1610" s="236">
        <v>158.6</v>
      </c>
      <c r="U1610" s="236"/>
      <c r="V1610" s="235">
        <v>356722</v>
      </c>
      <c r="W1610" s="235">
        <v>136353</v>
      </c>
      <c r="X1610" s="235">
        <v>123320</v>
      </c>
      <c r="Y1610" s="235">
        <v>92778</v>
      </c>
      <c r="Z1610" s="235">
        <v>236033</v>
      </c>
    </row>
    <row r="1611" spans="1:27" ht="18" hidden="1" customHeight="1" x14ac:dyDescent="0.2">
      <c r="A1611" s="279">
        <f t="shared" si="1964"/>
        <v>44462</v>
      </c>
      <c r="B1611" s="280" t="s">
        <v>194</v>
      </c>
      <c r="C1611" s="48">
        <f t="shared" si="2038"/>
        <v>2475</v>
      </c>
      <c r="D1611" s="84">
        <f t="shared" si="2013"/>
        <v>1472</v>
      </c>
      <c r="E1611" s="45">
        <f t="shared" si="2026"/>
        <v>1348.0000000000143</v>
      </c>
      <c r="F1611" s="45">
        <f t="shared" si="2039"/>
        <v>109</v>
      </c>
      <c r="G1611" s="79">
        <f t="shared" si="2040"/>
        <v>5404.0000000000146</v>
      </c>
      <c r="H1611" s="199">
        <v>4912</v>
      </c>
      <c r="I1611" s="199">
        <v>990</v>
      </c>
      <c r="J1611" s="200">
        <f t="shared" si="1995"/>
        <v>5902</v>
      </c>
      <c r="K1611" s="201">
        <f t="shared" si="1996"/>
        <v>497.99999999998545</v>
      </c>
      <c r="L1611" s="276">
        <v>475</v>
      </c>
      <c r="M1611" s="249">
        <v>0.41666666666666669</v>
      </c>
      <c r="N1611" s="235">
        <v>239817</v>
      </c>
      <c r="O1611" s="235">
        <v>118102</v>
      </c>
      <c r="P1611" s="235">
        <v>17859</v>
      </c>
      <c r="Q1611" s="235"/>
      <c r="R1611" s="235">
        <v>47296</v>
      </c>
      <c r="S1611" s="236">
        <v>3580.7</v>
      </c>
      <c r="T1611" s="236">
        <v>159.30000000000001</v>
      </c>
      <c r="U1611" s="236"/>
      <c r="V1611" s="235">
        <v>357016</v>
      </c>
      <c r="W1611" s="235">
        <v>136404</v>
      </c>
      <c r="X1611" s="235">
        <v>123386</v>
      </c>
      <c r="Y1611" s="235">
        <v>92778</v>
      </c>
      <c r="Z1611" s="235">
        <v>236143</v>
      </c>
    </row>
    <row r="1612" spans="1:27" ht="18" hidden="1" customHeight="1" x14ac:dyDescent="0.2">
      <c r="A1612" s="279">
        <f t="shared" si="1964"/>
        <v>44463</v>
      </c>
      <c r="B1612" s="278" t="s">
        <v>189</v>
      </c>
      <c r="C1612" s="48">
        <f t="shared" si="2038"/>
        <v>0</v>
      </c>
      <c r="D1612" s="84">
        <f t="shared" si="2013"/>
        <v>0</v>
      </c>
      <c r="E1612" s="45">
        <f t="shared" si="2026"/>
        <v>0</v>
      </c>
      <c r="F1612" s="45">
        <f t="shared" si="2039"/>
        <v>0</v>
      </c>
      <c r="G1612" s="79">
        <f t="shared" si="2040"/>
        <v>0</v>
      </c>
      <c r="H1612" s="199">
        <v>4942</v>
      </c>
      <c r="I1612" s="199">
        <v>1043</v>
      </c>
      <c r="J1612" s="200">
        <f t="shared" si="1995"/>
        <v>5985</v>
      </c>
      <c r="K1612" s="201">
        <f t="shared" si="1996"/>
        <v>5985</v>
      </c>
      <c r="L1612" s="276">
        <v>473</v>
      </c>
      <c r="M1612" s="249">
        <v>0.44791666666666669</v>
      </c>
      <c r="N1612" s="235">
        <v>239927</v>
      </c>
      <c r="O1612" s="235">
        <v>118148</v>
      </c>
      <c r="P1612" s="235">
        <v>17933</v>
      </c>
      <c r="Q1612" s="235"/>
      <c r="R1612" s="235">
        <v>47296</v>
      </c>
      <c r="S1612" s="236">
        <v>3597</v>
      </c>
      <c r="T1612" s="236">
        <v>160.4</v>
      </c>
      <c r="U1612" s="236"/>
      <c r="V1612" s="235">
        <v>357247</v>
      </c>
      <c r="W1612" s="235">
        <v>136452</v>
      </c>
      <c r="X1612" s="235">
        <v>123445</v>
      </c>
      <c r="Y1612" s="235">
        <v>92778</v>
      </c>
      <c r="Z1612" s="235">
        <v>236252</v>
      </c>
    </row>
    <row r="1613" spans="1:27" ht="18" hidden="1" customHeight="1" x14ac:dyDescent="0.2">
      <c r="A1613" s="279">
        <f t="shared" si="1964"/>
        <v>44464</v>
      </c>
      <c r="B1613" s="279" t="s">
        <v>195</v>
      </c>
      <c r="C1613" s="48">
        <f t="shared" si="2038"/>
        <v>0</v>
      </c>
      <c r="D1613" s="84">
        <f t="shared" si="2013"/>
        <v>0</v>
      </c>
      <c r="E1613" s="45">
        <f t="shared" si="2026"/>
        <v>0</v>
      </c>
      <c r="F1613" s="45">
        <f t="shared" si="2039"/>
        <v>0</v>
      </c>
      <c r="G1613" s="79">
        <f t="shared" si="2040"/>
        <v>0</v>
      </c>
      <c r="H1613" s="199">
        <v>0</v>
      </c>
      <c r="I1613" s="199">
        <f>523+704</f>
        <v>1227</v>
      </c>
      <c r="J1613" s="200">
        <f t="shared" si="1995"/>
        <v>1227</v>
      </c>
      <c r="K1613" s="201">
        <f t="shared" si="1996"/>
        <v>1227</v>
      </c>
      <c r="L1613" s="276">
        <v>102</v>
      </c>
      <c r="M1613" s="249">
        <v>4.1666666666666664E-2</v>
      </c>
      <c r="N1613" s="153">
        <v>239927</v>
      </c>
      <c r="O1613" s="153">
        <v>118148</v>
      </c>
      <c r="P1613" s="153">
        <v>17933</v>
      </c>
      <c r="Q1613" s="153"/>
      <c r="R1613" s="153">
        <v>47296</v>
      </c>
      <c r="S1613" s="154">
        <v>3597</v>
      </c>
      <c r="T1613" s="154">
        <v>160.4</v>
      </c>
      <c r="U1613" s="154"/>
      <c r="V1613" s="153">
        <v>357247</v>
      </c>
      <c r="W1613" s="153">
        <v>136452</v>
      </c>
      <c r="X1613" s="153">
        <v>123445</v>
      </c>
      <c r="Y1613" s="153">
        <v>92778</v>
      </c>
      <c r="Z1613" s="153">
        <v>236252</v>
      </c>
    </row>
    <row r="1614" spans="1:27" ht="18" hidden="1" customHeight="1" x14ac:dyDescent="0.2">
      <c r="A1614" s="279">
        <f t="shared" si="1964"/>
        <v>44465</v>
      </c>
      <c r="B1614" s="278" t="s">
        <v>190</v>
      </c>
      <c r="C1614" s="48">
        <f t="shared" ref="C1614" si="2041">(V1615-V1614)*1+(W1615-W1614)*32+(X1615-X1614)*12+(Y1615-Y1614)*6</f>
        <v>3337</v>
      </c>
      <c r="D1614" s="84">
        <f t="shared" si="2013"/>
        <v>1552</v>
      </c>
      <c r="E1614" s="45">
        <f t="shared" si="2026"/>
        <v>1795.9999999999854</v>
      </c>
      <c r="F1614" s="45">
        <f t="shared" ref="F1614" si="2042">(Z1615-Z1614)*1</f>
        <v>366</v>
      </c>
      <c r="G1614" s="79">
        <f t="shared" ref="G1614" si="2043">C1614+D1614+F1614+E1614</f>
        <v>7050.9999999999854</v>
      </c>
      <c r="H1614" s="199">
        <v>0</v>
      </c>
      <c r="I1614" s="199">
        <v>1043</v>
      </c>
      <c r="J1614" s="200">
        <f t="shared" si="1995"/>
        <v>1043</v>
      </c>
      <c r="K1614" s="201">
        <f t="shared" si="1996"/>
        <v>-6007.9999999999854</v>
      </c>
      <c r="L1614" s="276">
        <v>78</v>
      </c>
      <c r="M1614" s="249">
        <v>0.78125</v>
      </c>
      <c r="N1614" s="153">
        <v>239927</v>
      </c>
      <c r="O1614" s="153">
        <v>118148</v>
      </c>
      <c r="P1614" s="153">
        <v>17933</v>
      </c>
      <c r="Q1614" s="153"/>
      <c r="R1614" s="153">
        <v>47296</v>
      </c>
      <c r="S1614" s="154">
        <v>3597</v>
      </c>
      <c r="T1614" s="154">
        <v>160.4</v>
      </c>
      <c r="U1614" s="154"/>
      <c r="V1614" s="153">
        <v>357247</v>
      </c>
      <c r="W1614" s="153">
        <v>136452</v>
      </c>
      <c r="X1614" s="153">
        <v>123445</v>
      </c>
      <c r="Y1614" s="153">
        <v>92778</v>
      </c>
      <c r="Z1614" s="153">
        <v>236252</v>
      </c>
      <c r="AA1614" s="43">
        <f t="shared" ref="AA1614:AA1617" si="2044">X1614-X1613</f>
        <v>0</v>
      </c>
    </row>
    <row r="1615" spans="1:27" ht="18" hidden="1" customHeight="1" x14ac:dyDescent="0.2">
      <c r="A1615" s="279">
        <f t="shared" si="1964"/>
        <v>44466</v>
      </c>
      <c r="B1615" s="280" t="s">
        <v>191</v>
      </c>
      <c r="C1615" s="48">
        <f t="shared" ref="C1615" si="2045">(V1616-V1615)*1+(W1616-W1615)*32+(X1616-X1615)*12+(Y1616-Y1615)*6</f>
        <v>2508</v>
      </c>
      <c r="D1615" s="84">
        <f t="shared" si="2013"/>
        <v>1256</v>
      </c>
      <c r="E1615" s="45">
        <f t="shared" si="2026"/>
        <v>1527.9999999999995</v>
      </c>
      <c r="F1615" s="45">
        <f t="shared" ref="F1615" si="2046">(Z1616-Z1615)*1</f>
        <v>90</v>
      </c>
      <c r="G1615" s="79">
        <f t="shared" ref="G1615" si="2047">C1615+D1615+F1615+E1615</f>
        <v>5382</v>
      </c>
      <c r="H1615" s="199">
        <v>4873</v>
      </c>
      <c r="I1615" s="199">
        <v>641</v>
      </c>
      <c r="J1615" s="200">
        <f t="shared" si="1995"/>
        <v>5514</v>
      </c>
      <c r="K1615" s="201">
        <f t="shared" si="1996"/>
        <v>132</v>
      </c>
      <c r="L1615" s="276">
        <v>484</v>
      </c>
      <c r="M1615" s="249">
        <v>0.375</v>
      </c>
      <c r="N1615" s="235">
        <v>240037</v>
      </c>
      <c r="O1615" s="235">
        <v>118192</v>
      </c>
      <c r="P1615" s="235">
        <v>18017</v>
      </c>
      <c r="Q1615" s="235"/>
      <c r="R1615" s="235">
        <v>47296</v>
      </c>
      <c r="S1615" s="236">
        <v>3618.7</v>
      </c>
      <c r="T1615" s="236">
        <v>161.9</v>
      </c>
      <c r="U1615" s="236"/>
      <c r="V1615" s="235">
        <v>357780</v>
      </c>
      <c r="W1615" s="235">
        <v>136516</v>
      </c>
      <c r="X1615" s="235">
        <v>123508</v>
      </c>
      <c r="Y1615" s="235">
        <v>92778</v>
      </c>
      <c r="Z1615" s="235">
        <v>236618</v>
      </c>
      <c r="AA1615" s="43">
        <f t="shared" si="2044"/>
        <v>63</v>
      </c>
    </row>
    <row r="1616" spans="1:27" ht="18" hidden="1" customHeight="1" x14ac:dyDescent="0.2">
      <c r="A1616" s="279">
        <f t="shared" si="1964"/>
        <v>44467</v>
      </c>
      <c r="B1616" s="280" t="s">
        <v>192</v>
      </c>
      <c r="C1616" s="48">
        <f t="shared" ref="C1616" si="2048">(V1617-V1616)*1+(W1617-W1616)*32+(X1617-X1616)*12+(Y1617-Y1616)*6</f>
        <v>2479</v>
      </c>
      <c r="D1616" s="84">
        <f t="shared" si="2013"/>
        <v>2016</v>
      </c>
      <c r="E1616" s="45">
        <f t="shared" si="2026"/>
        <v>1456.0000000000002</v>
      </c>
      <c r="F1616" s="45">
        <f t="shared" ref="F1616" si="2049">(Z1617-Z1616)*1</f>
        <v>92</v>
      </c>
      <c r="G1616" s="79">
        <f t="shared" ref="G1616" si="2050">C1616+D1616+F1616+E1616</f>
        <v>6043</v>
      </c>
      <c r="H1616" s="199">
        <v>4821</v>
      </c>
      <c r="I1616" s="199">
        <v>908</v>
      </c>
      <c r="J1616" s="200">
        <f t="shared" si="1995"/>
        <v>5729</v>
      </c>
      <c r="K1616" s="201">
        <f t="shared" si="1996"/>
        <v>-314</v>
      </c>
      <c r="L1616" s="276">
        <v>495</v>
      </c>
      <c r="M1616" s="249">
        <v>0.39583333333333331</v>
      </c>
      <c r="N1616" s="235">
        <v>240117</v>
      </c>
      <c r="O1616" s="235">
        <v>118224</v>
      </c>
      <c r="P1616" s="235">
        <v>18094</v>
      </c>
      <c r="Q1616" s="235"/>
      <c r="R1616" s="235">
        <v>47296</v>
      </c>
      <c r="S1616" s="236">
        <v>3637.2</v>
      </c>
      <c r="T1616" s="236">
        <v>163.1</v>
      </c>
      <c r="U1616" s="236"/>
      <c r="V1616" s="235">
        <v>358000</v>
      </c>
      <c r="W1616" s="235">
        <v>136565</v>
      </c>
      <c r="X1616" s="235">
        <v>123568</v>
      </c>
      <c r="Y1616" s="235">
        <v>92778</v>
      </c>
      <c r="Z1616" s="235">
        <v>236708</v>
      </c>
      <c r="AA1616" s="43">
        <f t="shared" si="2044"/>
        <v>60</v>
      </c>
    </row>
    <row r="1617" spans="1:27" ht="18" hidden="1" customHeight="1" x14ac:dyDescent="0.2">
      <c r="A1617" s="279">
        <f t="shared" si="1964"/>
        <v>44468</v>
      </c>
      <c r="B1617" s="280" t="s">
        <v>193</v>
      </c>
      <c r="C1617" s="48">
        <f t="shared" ref="C1617" si="2051">(V1618-V1617)*1+(W1618-W1617)*32+(X1618-X1617)*12+(Y1618-Y1617)*6</f>
        <v>2388</v>
      </c>
      <c r="D1617" s="84">
        <f t="shared" si="2013"/>
        <v>1328</v>
      </c>
      <c r="E1617" s="45">
        <f t="shared" si="2026"/>
        <v>1492.0000000000073</v>
      </c>
      <c r="F1617" s="45">
        <f t="shared" ref="F1617" si="2052">(Z1618-Z1617)*1</f>
        <v>72</v>
      </c>
      <c r="G1617" s="79">
        <f t="shared" ref="G1617" si="2053">C1617+D1617+F1617+E1617</f>
        <v>5280.0000000000073</v>
      </c>
      <c r="H1617" s="199">
        <v>4958</v>
      </c>
      <c r="I1617" s="199">
        <v>952</v>
      </c>
      <c r="J1617" s="200">
        <f t="shared" si="1995"/>
        <v>5910</v>
      </c>
      <c r="K1617" s="201">
        <f t="shared" si="1996"/>
        <v>629.99999999999272</v>
      </c>
      <c r="L1617" s="276">
        <v>464</v>
      </c>
      <c r="M1617" s="249">
        <v>0.58333333333333337</v>
      </c>
      <c r="N1617" s="235">
        <v>240287</v>
      </c>
      <c r="O1617" s="235">
        <v>118249</v>
      </c>
      <c r="P1617" s="235">
        <v>18176</v>
      </c>
      <c r="Q1617" s="235"/>
      <c r="R1617" s="235">
        <v>47296</v>
      </c>
      <c r="S1617" s="236">
        <v>3655.2</v>
      </c>
      <c r="T1617" s="236">
        <v>163.5</v>
      </c>
      <c r="U1617" s="236"/>
      <c r="V1617" s="235">
        <v>358211</v>
      </c>
      <c r="W1617" s="235">
        <v>136631</v>
      </c>
      <c r="X1617" s="235">
        <v>123581</v>
      </c>
      <c r="Y1617" s="235">
        <v>92778</v>
      </c>
      <c r="Z1617" s="235">
        <v>236800</v>
      </c>
      <c r="AA1617" s="43">
        <f t="shared" si="2044"/>
        <v>13</v>
      </c>
    </row>
    <row r="1618" spans="1:27" ht="18" hidden="1" customHeight="1" x14ac:dyDescent="0.2">
      <c r="A1618" s="279">
        <f t="shared" si="1964"/>
        <v>44469</v>
      </c>
      <c r="B1618" s="280" t="s">
        <v>194</v>
      </c>
      <c r="C1618" s="48">
        <f t="shared" ref="C1618" si="2054">(V1619-V1618)*1+(W1619-W1618)*32+(X1619-X1618)*12+(Y1619-Y1618)*6</f>
        <v>2484</v>
      </c>
      <c r="D1618" s="84">
        <f t="shared" si="2013"/>
        <v>640</v>
      </c>
      <c r="E1618" s="45">
        <f t="shared" si="2026"/>
        <v>1360.0000000000068</v>
      </c>
      <c r="F1618" s="45">
        <f t="shared" ref="F1618" si="2055">(Z1619-Z1618)*1</f>
        <v>96</v>
      </c>
      <c r="G1618" s="79">
        <f t="shared" ref="G1618" si="2056">C1618+D1618+F1618+E1618</f>
        <v>4580.0000000000073</v>
      </c>
      <c r="H1618" s="199">
        <v>4689</v>
      </c>
      <c r="I1618" s="199">
        <v>948</v>
      </c>
      <c r="J1618" s="200">
        <f t="shared" si="1995"/>
        <v>5637</v>
      </c>
      <c r="K1618" s="201">
        <f t="shared" si="1996"/>
        <v>1056.9999999999927</v>
      </c>
      <c r="L1618" s="276">
        <v>469</v>
      </c>
      <c r="M1618" s="249">
        <v>0.39583333333333331</v>
      </c>
      <c r="N1618" s="235">
        <v>240367</v>
      </c>
      <c r="O1618" s="235">
        <v>118277</v>
      </c>
      <c r="P1618" s="235">
        <v>18262</v>
      </c>
      <c r="Q1618" s="235"/>
      <c r="R1618" s="235">
        <v>47296</v>
      </c>
      <c r="S1618" s="236">
        <v>3673.6</v>
      </c>
      <c r="T1618" s="236">
        <v>164</v>
      </c>
      <c r="U1618" s="236"/>
      <c r="V1618" s="235">
        <v>358431</v>
      </c>
      <c r="W1618" s="235">
        <v>136680</v>
      </c>
      <c r="X1618" s="235">
        <v>123631</v>
      </c>
      <c r="Y1618" s="235">
        <v>92778</v>
      </c>
      <c r="Z1618" s="235">
        <v>236872</v>
      </c>
      <c r="AA1618" s="43">
        <f>X1618-X1617</f>
        <v>50</v>
      </c>
    </row>
    <row r="1619" spans="1:27" ht="18" hidden="1" customHeight="1" thickTop="1" x14ac:dyDescent="0.2">
      <c r="A1619" s="279">
        <f t="shared" si="1964"/>
        <v>44470</v>
      </c>
      <c r="B1619" s="278" t="s">
        <v>189</v>
      </c>
      <c r="C1619" s="48">
        <f t="shared" ref="C1619:C1621" si="2057">(V1620-V1619)*1+(W1620-W1619)*32+(X1620-X1619)*12+(Y1620-Y1619)*6</f>
        <v>0</v>
      </c>
      <c r="D1619" s="84">
        <f t="shared" si="2013"/>
        <v>0</v>
      </c>
      <c r="E1619" s="45">
        <f t="shared" si="2026"/>
        <v>0</v>
      </c>
      <c r="F1619" s="45">
        <f t="shared" ref="F1619:F1621" si="2058">(Z1620-Z1619)*1</f>
        <v>0</v>
      </c>
      <c r="G1619" s="79">
        <f t="shared" ref="G1619:G1621" si="2059">C1619+D1619+F1619+E1619</f>
        <v>0</v>
      </c>
      <c r="H1619" s="199">
        <v>4797</v>
      </c>
      <c r="I1619" s="199">
        <v>947</v>
      </c>
      <c r="J1619" s="200">
        <f t="shared" si="1995"/>
        <v>5744</v>
      </c>
      <c r="K1619" s="201">
        <f t="shared" si="1996"/>
        <v>5744</v>
      </c>
      <c r="L1619" s="276">
        <v>476</v>
      </c>
      <c r="M1619" s="249">
        <v>0.40625</v>
      </c>
      <c r="N1619" s="235">
        <v>240337</v>
      </c>
      <c r="O1619" s="235">
        <v>118306</v>
      </c>
      <c r="P1619" s="235">
        <v>18372</v>
      </c>
      <c r="Q1619" s="235"/>
      <c r="R1619" s="235">
        <v>47296</v>
      </c>
      <c r="S1619" s="236">
        <v>3690</v>
      </c>
      <c r="T1619" s="236">
        <v>165.2</v>
      </c>
      <c r="U1619" s="236"/>
      <c r="V1619" s="235">
        <v>358639</v>
      </c>
      <c r="W1619" s="235">
        <v>136705</v>
      </c>
      <c r="X1619" s="235">
        <v>123754</v>
      </c>
      <c r="Y1619" s="235">
        <v>92778</v>
      </c>
      <c r="Z1619" s="235">
        <v>236968</v>
      </c>
    </row>
    <row r="1620" spans="1:27" ht="18" hidden="1" customHeight="1" x14ac:dyDescent="0.2">
      <c r="A1620" s="279">
        <f t="shared" si="1964"/>
        <v>44471</v>
      </c>
      <c r="B1620" s="279" t="s">
        <v>195</v>
      </c>
      <c r="C1620" s="48">
        <f t="shared" si="2057"/>
        <v>0</v>
      </c>
      <c r="D1620" s="84">
        <f t="shared" si="2013"/>
        <v>0</v>
      </c>
      <c r="E1620" s="45">
        <f t="shared" si="2026"/>
        <v>0</v>
      </c>
      <c r="F1620" s="45">
        <f t="shared" si="2058"/>
        <v>0</v>
      </c>
      <c r="G1620" s="79">
        <f t="shared" si="2059"/>
        <v>0</v>
      </c>
      <c r="H1620" s="199">
        <v>0</v>
      </c>
      <c r="I1620" s="199">
        <f>1304+780</f>
        <v>2084</v>
      </c>
      <c r="J1620" s="200">
        <f t="shared" ref="J1620:J1648" si="2060">H1620+I1620</f>
        <v>2084</v>
      </c>
      <c r="K1620" s="201">
        <f t="shared" ref="K1620:K1648" si="2061">J1620-G1620</f>
        <v>2084</v>
      </c>
      <c r="L1620" s="276">
        <v>97</v>
      </c>
      <c r="M1620" s="249">
        <v>0.48958333333333331</v>
      </c>
      <c r="N1620" s="153">
        <v>240337</v>
      </c>
      <c r="O1620" s="153">
        <v>118306</v>
      </c>
      <c r="P1620" s="153">
        <v>18372</v>
      </c>
      <c r="Q1620" s="153"/>
      <c r="R1620" s="153">
        <v>47296</v>
      </c>
      <c r="S1620" s="154">
        <v>3690</v>
      </c>
      <c r="T1620" s="154">
        <v>165.2</v>
      </c>
      <c r="U1620" s="154"/>
      <c r="V1620" s="153">
        <v>358639</v>
      </c>
      <c r="W1620" s="153">
        <v>136705</v>
      </c>
      <c r="X1620" s="153">
        <v>123754</v>
      </c>
      <c r="Y1620" s="153">
        <v>92778</v>
      </c>
      <c r="Z1620" s="153">
        <v>236968</v>
      </c>
    </row>
    <row r="1621" spans="1:27" ht="18" hidden="1" customHeight="1" x14ac:dyDescent="0.2">
      <c r="A1621" s="279">
        <f t="shared" si="1964"/>
        <v>44472</v>
      </c>
      <c r="B1621" s="278" t="s">
        <v>190</v>
      </c>
      <c r="C1621" s="48">
        <f t="shared" si="2057"/>
        <v>3449</v>
      </c>
      <c r="D1621" s="84">
        <f t="shared" si="2013"/>
        <v>3496</v>
      </c>
      <c r="E1621" s="45">
        <f t="shared" si="2026"/>
        <v>1755.9999999999854</v>
      </c>
      <c r="F1621" s="45">
        <f t="shared" si="2058"/>
        <v>286</v>
      </c>
      <c r="G1621" s="79">
        <f t="shared" si="2059"/>
        <v>8986.9999999999854</v>
      </c>
      <c r="H1621" s="199">
        <v>0</v>
      </c>
      <c r="I1621" s="199">
        <v>2275</v>
      </c>
      <c r="J1621" s="200">
        <f t="shared" si="2060"/>
        <v>2275</v>
      </c>
      <c r="K1621" s="201">
        <f t="shared" si="2061"/>
        <v>-6711.9999999999854</v>
      </c>
      <c r="L1621" s="276">
        <v>125</v>
      </c>
      <c r="M1621" s="249">
        <v>0.75</v>
      </c>
      <c r="N1621" s="153">
        <v>240337</v>
      </c>
      <c r="O1621" s="153">
        <v>118306</v>
      </c>
      <c r="P1621" s="153">
        <v>18372</v>
      </c>
      <c r="Q1621" s="153"/>
      <c r="R1621" s="153">
        <v>47296</v>
      </c>
      <c r="S1621" s="154">
        <v>3690</v>
      </c>
      <c r="T1621" s="154">
        <v>165.2</v>
      </c>
      <c r="U1621" s="154"/>
      <c r="V1621" s="153">
        <v>358639</v>
      </c>
      <c r="W1621" s="153">
        <v>136705</v>
      </c>
      <c r="X1621" s="153">
        <v>123754</v>
      </c>
      <c r="Y1621" s="153">
        <v>92778</v>
      </c>
      <c r="Z1621" s="153">
        <v>236968</v>
      </c>
    </row>
    <row r="1622" spans="1:27" ht="18" hidden="1" customHeight="1" x14ac:dyDescent="0.2">
      <c r="A1622" s="279">
        <f t="shared" si="1964"/>
        <v>44473</v>
      </c>
      <c r="B1622" s="280" t="s">
        <v>191</v>
      </c>
      <c r="C1622" s="48">
        <f t="shared" ref="C1622" si="2062">(V1623-V1622)*1+(W1623-W1622)*32+(X1623-X1622)*12+(Y1623-Y1622)*6</f>
        <v>2531</v>
      </c>
      <c r="D1622" s="84">
        <f t="shared" si="2013"/>
        <v>2256</v>
      </c>
      <c r="E1622" s="45">
        <f t="shared" si="2026"/>
        <v>1292.0000000000005</v>
      </c>
      <c r="F1622" s="45">
        <f t="shared" ref="F1622" si="2063">(Z1623-Z1622)*1</f>
        <v>99</v>
      </c>
      <c r="G1622" s="79">
        <f t="shared" ref="G1622" si="2064">C1622+D1622+F1622+E1622</f>
        <v>6178</v>
      </c>
      <c r="H1622" s="199">
        <v>4924</v>
      </c>
      <c r="I1622" s="199">
        <v>777</v>
      </c>
      <c r="J1622" s="200">
        <f t="shared" si="2060"/>
        <v>5701</v>
      </c>
      <c r="K1622" s="201">
        <f t="shared" si="2061"/>
        <v>-477</v>
      </c>
      <c r="L1622" s="276">
        <v>473</v>
      </c>
      <c r="M1622" s="249">
        <v>0.44791666666666669</v>
      </c>
      <c r="N1622" s="235">
        <v>240467</v>
      </c>
      <c r="O1622" s="235">
        <v>118371</v>
      </c>
      <c r="P1622" s="235">
        <v>18679</v>
      </c>
      <c r="Q1622" s="235"/>
      <c r="R1622" s="235">
        <v>47296</v>
      </c>
      <c r="S1622" s="236">
        <v>3711.2</v>
      </c>
      <c r="T1622" s="236">
        <v>166.7</v>
      </c>
      <c r="U1622" s="236"/>
      <c r="V1622" s="235">
        <v>359164</v>
      </c>
      <c r="W1622" s="235">
        <v>136772</v>
      </c>
      <c r="X1622" s="235">
        <v>123819</v>
      </c>
      <c r="Y1622" s="235">
        <v>92778</v>
      </c>
      <c r="Z1622" s="235">
        <v>237254</v>
      </c>
    </row>
    <row r="1623" spans="1:27" ht="18" hidden="1" customHeight="1" x14ac:dyDescent="0.2">
      <c r="A1623" s="279">
        <f t="shared" si="1964"/>
        <v>44474</v>
      </c>
      <c r="B1623" s="280" t="s">
        <v>192</v>
      </c>
      <c r="C1623" s="48">
        <f t="shared" ref="C1623" si="2065">(V1624-V1623)*1+(W1624-W1623)*32+(X1624-X1623)*12+(Y1624-Y1623)*6</f>
        <v>2410</v>
      </c>
      <c r="D1623" s="84">
        <f t="shared" si="2013"/>
        <v>1256</v>
      </c>
      <c r="E1623" s="45">
        <f t="shared" si="2026"/>
        <v>1292.0000000000073</v>
      </c>
      <c r="F1623" s="45">
        <f t="shared" ref="F1623" si="2066">(Z1624-Z1623)*1</f>
        <v>84</v>
      </c>
      <c r="G1623" s="79">
        <f t="shared" ref="G1623" si="2067">C1623+D1623+F1623+E1623</f>
        <v>5042.0000000000073</v>
      </c>
      <c r="H1623" s="199">
        <v>4911</v>
      </c>
      <c r="I1623" s="199">
        <v>1097</v>
      </c>
      <c r="J1623" s="200">
        <f t="shared" si="2060"/>
        <v>6008</v>
      </c>
      <c r="K1623" s="201">
        <f t="shared" si="2061"/>
        <v>965.99999999999272</v>
      </c>
      <c r="L1623" s="276">
        <v>480</v>
      </c>
      <c r="M1623" s="276" t="s">
        <v>208</v>
      </c>
      <c r="N1623" s="235">
        <v>240567</v>
      </c>
      <c r="O1623" s="235">
        <v>118398</v>
      </c>
      <c r="P1623" s="235">
        <v>18861</v>
      </c>
      <c r="Q1623" s="235"/>
      <c r="R1623" s="235">
        <v>47296</v>
      </c>
      <c r="S1623" s="236">
        <v>3727.2</v>
      </c>
      <c r="T1623" s="236">
        <v>167</v>
      </c>
      <c r="U1623" s="236"/>
      <c r="V1623" s="235">
        <v>359375</v>
      </c>
      <c r="W1623" s="235">
        <v>136819</v>
      </c>
      <c r="X1623" s="235">
        <v>123887</v>
      </c>
      <c r="Y1623" s="235">
        <v>92778</v>
      </c>
      <c r="Z1623" s="235">
        <v>237353</v>
      </c>
    </row>
    <row r="1624" spans="1:27" ht="18" hidden="1" customHeight="1" x14ac:dyDescent="0.2">
      <c r="A1624" s="279">
        <f t="shared" si="1964"/>
        <v>44475</v>
      </c>
      <c r="B1624" s="280" t="s">
        <v>193</v>
      </c>
      <c r="C1624" s="48">
        <f t="shared" ref="C1624" si="2068">(V1625-V1624)*1+(W1625-W1624)*32+(X1625-X1624)*12+(Y1625-Y1624)*6</f>
        <v>2512</v>
      </c>
      <c r="D1624" s="84">
        <f t="shared" si="2013"/>
        <v>1568</v>
      </c>
      <c r="E1624" s="45">
        <f t="shared" si="2026"/>
        <v>1560.0000000000068</v>
      </c>
      <c r="F1624" s="45">
        <f t="shared" ref="F1624" si="2069">(Z1625-Z1624)*1</f>
        <v>95</v>
      </c>
      <c r="G1624" s="79">
        <f t="shared" ref="G1624" si="2070">C1624+D1624+F1624+E1624</f>
        <v>5735.0000000000073</v>
      </c>
      <c r="H1624" s="199">
        <v>4914</v>
      </c>
      <c r="I1624" s="199">
        <v>1049</v>
      </c>
      <c r="J1624" s="200">
        <f t="shared" si="2060"/>
        <v>5963</v>
      </c>
      <c r="K1624" s="201">
        <f t="shared" si="2061"/>
        <v>227.99999999999272</v>
      </c>
      <c r="L1624" s="276">
        <v>494</v>
      </c>
      <c r="M1624" s="249">
        <v>0.38541666666666669</v>
      </c>
      <c r="N1624" s="235">
        <v>240637</v>
      </c>
      <c r="O1624" s="235">
        <v>118426</v>
      </c>
      <c r="P1624" s="235">
        <v>18948</v>
      </c>
      <c r="Q1624" s="235"/>
      <c r="R1624" s="235">
        <v>47296</v>
      </c>
      <c r="S1624" s="236">
        <v>3743.1</v>
      </c>
      <c r="T1624" s="236">
        <v>167.5</v>
      </c>
      <c r="U1624" s="236"/>
      <c r="V1624" s="235">
        <v>359577</v>
      </c>
      <c r="W1624" s="235">
        <v>136867</v>
      </c>
      <c r="X1624" s="235">
        <v>123943</v>
      </c>
      <c r="Y1624" s="235">
        <v>92778</v>
      </c>
      <c r="Z1624" s="235">
        <v>237437</v>
      </c>
    </row>
    <row r="1625" spans="1:27" ht="18" hidden="1" customHeight="1" x14ac:dyDescent="0.2">
      <c r="A1625" s="279">
        <f t="shared" si="1964"/>
        <v>44476</v>
      </c>
      <c r="B1625" s="280" t="s">
        <v>194</v>
      </c>
      <c r="C1625" s="48">
        <f t="shared" ref="C1625" si="2071">(V1626-V1625)*1+(W1626-W1625)*32+(X1626-X1625)*12+(Y1626-Y1625)*6</f>
        <v>2513</v>
      </c>
      <c r="D1625" s="84">
        <f t="shared" si="2013"/>
        <v>1272</v>
      </c>
      <c r="E1625" s="45">
        <f t="shared" si="2026"/>
        <v>1412.0000000000073</v>
      </c>
      <c r="F1625" s="45">
        <f t="shared" ref="F1625" si="2072">(Z1626-Z1625)*1</f>
        <v>109</v>
      </c>
      <c r="G1625" s="79">
        <f t="shared" ref="G1625" si="2073">C1625+D1625+F1625+E1625</f>
        <v>5306.0000000000073</v>
      </c>
      <c r="H1625" s="199">
        <v>5077</v>
      </c>
      <c r="I1625" s="199">
        <v>1046</v>
      </c>
      <c r="J1625" s="200">
        <f t="shared" si="2060"/>
        <v>6123</v>
      </c>
      <c r="K1625" s="201">
        <f t="shared" si="2061"/>
        <v>816.99999999999272</v>
      </c>
      <c r="L1625" s="276">
        <v>519</v>
      </c>
      <c r="M1625" s="249">
        <v>0.38541666666666669</v>
      </c>
      <c r="N1625" s="235">
        <v>240707</v>
      </c>
      <c r="O1625" s="235">
        <v>118451</v>
      </c>
      <c r="P1625" s="235">
        <v>19074</v>
      </c>
      <c r="Q1625" s="235"/>
      <c r="R1625" s="235">
        <v>47296</v>
      </c>
      <c r="S1625" s="236">
        <v>3761</v>
      </c>
      <c r="T1625" s="236">
        <v>170.7</v>
      </c>
      <c r="U1625" s="236"/>
      <c r="V1625" s="235">
        <v>359785</v>
      </c>
      <c r="W1625" s="235">
        <v>136915</v>
      </c>
      <c r="X1625" s="235">
        <v>124007</v>
      </c>
      <c r="Y1625" s="235">
        <v>92778</v>
      </c>
      <c r="Z1625" s="235">
        <v>237532</v>
      </c>
    </row>
    <row r="1626" spans="1:27" ht="18" hidden="1" customHeight="1" x14ac:dyDescent="0.2">
      <c r="A1626" s="279">
        <f t="shared" si="1964"/>
        <v>44477</v>
      </c>
      <c r="B1626" s="278" t="s">
        <v>189</v>
      </c>
      <c r="C1626" s="48">
        <f t="shared" ref="C1626:C1629" si="2074">(V1627-V1626)*1+(W1627-W1626)*32+(X1627-X1626)*12+(Y1627-Y1626)*6</f>
        <v>0</v>
      </c>
      <c r="D1626" s="84">
        <f t="shared" si="2013"/>
        <v>0</v>
      </c>
      <c r="E1626" s="45">
        <f t="shared" si="2026"/>
        <v>0</v>
      </c>
      <c r="F1626" s="45">
        <f t="shared" ref="F1626:F1629" si="2075">(Z1627-Z1626)*1</f>
        <v>0</v>
      </c>
      <c r="G1626" s="79">
        <f t="shared" ref="G1626:G1629" si="2076">C1626+D1626+F1626+E1626</f>
        <v>0</v>
      </c>
      <c r="H1626" s="199">
        <v>4309</v>
      </c>
      <c r="I1626" s="199">
        <v>1025</v>
      </c>
      <c r="J1626" s="200">
        <f t="shared" si="2060"/>
        <v>5334</v>
      </c>
      <c r="K1626" s="201">
        <f t="shared" si="2061"/>
        <v>5334</v>
      </c>
      <c r="L1626" s="276">
        <v>489</v>
      </c>
      <c r="M1626" s="249">
        <v>0.39583333333333331</v>
      </c>
      <c r="N1626" s="235">
        <v>240737</v>
      </c>
      <c r="O1626" s="235">
        <v>118477</v>
      </c>
      <c r="P1626" s="235">
        <v>19203</v>
      </c>
      <c r="Q1626" s="235"/>
      <c r="R1626" s="235">
        <v>47296</v>
      </c>
      <c r="S1626" s="236">
        <v>3777.9</v>
      </c>
      <c r="T1626" s="236">
        <v>172.2</v>
      </c>
      <c r="U1626" s="236"/>
      <c r="V1626" s="235">
        <v>359990</v>
      </c>
      <c r="W1626" s="235">
        <v>136962</v>
      </c>
      <c r="X1626" s="235">
        <v>124074</v>
      </c>
      <c r="Y1626" s="235">
        <v>92778</v>
      </c>
      <c r="Z1626" s="235">
        <v>237641</v>
      </c>
    </row>
    <row r="1627" spans="1:27" ht="18" hidden="1" customHeight="1" x14ac:dyDescent="0.2">
      <c r="A1627" s="279">
        <f t="shared" si="1964"/>
        <v>44478</v>
      </c>
      <c r="B1627" s="279" t="s">
        <v>195</v>
      </c>
      <c r="C1627" s="48">
        <f t="shared" si="2074"/>
        <v>0</v>
      </c>
      <c r="D1627" s="84">
        <f t="shared" si="2013"/>
        <v>0</v>
      </c>
      <c r="E1627" s="45">
        <f t="shared" si="2026"/>
        <v>0</v>
      </c>
      <c r="F1627" s="45">
        <f t="shared" si="2075"/>
        <v>0</v>
      </c>
      <c r="G1627" s="79">
        <f t="shared" si="2076"/>
        <v>0</v>
      </c>
      <c r="H1627" s="199">
        <v>0</v>
      </c>
      <c r="I1627" s="199">
        <f>1217+780</f>
        <v>1997</v>
      </c>
      <c r="J1627" s="200">
        <f t="shared" si="2060"/>
        <v>1997</v>
      </c>
      <c r="K1627" s="201">
        <f t="shared" si="2061"/>
        <v>1997</v>
      </c>
      <c r="L1627" s="276">
        <v>94</v>
      </c>
      <c r="M1627" s="249">
        <v>0.10416666666666667</v>
      </c>
      <c r="N1627" s="153">
        <v>240737</v>
      </c>
      <c r="O1627" s="153">
        <v>118477</v>
      </c>
      <c r="P1627" s="153">
        <v>19203</v>
      </c>
      <c r="Q1627" s="153"/>
      <c r="R1627" s="153">
        <v>47296</v>
      </c>
      <c r="S1627" s="154">
        <v>3777.9</v>
      </c>
      <c r="T1627" s="154">
        <v>172.2</v>
      </c>
      <c r="U1627" s="154"/>
      <c r="V1627" s="153">
        <v>359990</v>
      </c>
      <c r="W1627" s="153">
        <v>136962</v>
      </c>
      <c r="X1627" s="153">
        <v>124074</v>
      </c>
      <c r="Y1627" s="153">
        <v>92778</v>
      </c>
      <c r="Z1627" s="153">
        <v>237641</v>
      </c>
    </row>
    <row r="1628" spans="1:27" ht="18" hidden="1" customHeight="1" x14ac:dyDescent="0.2">
      <c r="A1628" s="279">
        <f t="shared" si="1964"/>
        <v>44479</v>
      </c>
      <c r="B1628" s="278" t="s">
        <v>190</v>
      </c>
      <c r="C1628" s="48">
        <f t="shared" si="2074"/>
        <v>0</v>
      </c>
      <c r="D1628" s="84">
        <f t="shared" si="2013"/>
        <v>0</v>
      </c>
      <c r="E1628" s="45">
        <f t="shared" si="2026"/>
        <v>0</v>
      </c>
      <c r="F1628" s="45">
        <f t="shared" si="2075"/>
        <v>0</v>
      </c>
      <c r="G1628" s="79">
        <f t="shared" si="2076"/>
        <v>0</v>
      </c>
      <c r="H1628" s="199">
        <v>0</v>
      </c>
      <c r="I1628" s="199">
        <v>1955</v>
      </c>
      <c r="J1628" s="200">
        <f t="shared" si="2060"/>
        <v>1955</v>
      </c>
      <c r="K1628" s="201">
        <f t="shared" si="2061"/>
        <v>1955</v>
      </c>
      <c r="L1628" s="276">
        <v>95</v>
      </c>
      <c r="M1628" s="249">
        <v>0.875</v>
      </c>
      <c r="N1628" s="153">
        <v>240737</v>
      </c>
      <c r="O1628" s="153">
        <v>118477</v>
      </c>
      <c r="P1628" s="153">
        <v>19203</v>
      </c>
      <c r="Q1628" s="153"/>
      <c r="R1628" s="153">
        <v>47296</v>
      </c>
      <c r="S1628" s="154">
        <v>3777.9</v>
      </c>
      <c r="T1628" s="154">
        <v>172.2</v>
      </c>
      <c r="U1628" s="154"/>
      <c r="V1628" s="153">
        <v>359990</v>
      </c>
      <c r="W1628" s="153">
        <v>136962</v>
      </c>
      <c r="X1628" s="153">
        <v>124074</v>
      </c>
      <c r="Y1628" s="153">
        <v>92778</v>
      </c>
      <c r="Z1628" s="153">
        <v>237641</v>
      </c>
    </row>
    <row r="1629" spans="1:27" ht="18" hidden="1" customHeight="1" x14ac:dyDescent="0.2">
      <c r="A1629" s="279">
        <f t="shared" si="1964"/>
        <v>44480</v>
      </c>
      <c r="B1629" s="280" t="s">
        <v>191</v>
      </c>
      <c r="C1629" s="48">
        <f t="shared" si="2074"/>
        <v>3352</v>
      </c>
      <c r="D1629" s="84">
        <f t="shared" si="2013"/>
        <v>5424</v>
      </c>
      <c r="E1629" s="45">
        <f t="shared" si="2026"/>
        <v>1863.9999999999782</v>
      </c>
      <c r="F1629" s="45">
        <f t="shared" si="2075"/>
        <v>441</v>
      </c>
      <c r="G1629" s="79">
        <f t="shared" si="2076"/>
        <v>11080.999999999978</v>
      </c>
      <c r="H1629" s="199">
        <v>1460</v>
      </c>
      <c r="I1629" s="199">
        <v>861</v>
      </c>
      <c r="J1629" s="200">
        <f t="shared" si="2060"/>
        <v>2321</v>
      </c>
      <c r="K1629" s="201">
        <f t="shared" si="2061"/>
        <v>-8759.9999999999782</v>
      </c>
      <c r="L1629" s="276">
        <v>147</v>
      </c>
      <c r="M1629" s="249">
        <v>0.28125</v>
      </c>
      <c r="N1629" s="153">
        <v>240737</v>
      </c>
      <c r="O1629" s="153">
        <v>118477</v>
      </c>
      <c r="P1629" s="153">
        <v>19203</v>
      </c>
      <c r="Q1629" s="153"/>
      <c r="R1629" s="153">
        <v>47296</v>
      </c>
      <c r="S1629" s="154">
        <v>3777.9</v>
      </c>
      <c r="T1629" s="154">
        <v>172.2</v>
      </c>
      <c r="U1629" s="154"/>
      <c r="V1629" s="153">
        <v>359990</v>
      </c>
      <c r="W1629" s="153">
        <v>136962</v>
      </c>
      <c r="X1629" s="153">
        <v>124074</v>
      </c>
      <c r="Y1629" s="153">
        <v>92778</v>
      </c>
      <c r="Z1629" s="153">
        <v>237641</v>
      </c>
    </row>
    <row r="1630" spans="1:27" ht="18" hidden="1" customHeight="1" x14ac:dyDescent="0.2">
      <c r="A1630" s="279">
        <f t="shared" si="1964"/>
        <v>44481</v>
      </c>
      <c r="B1630" s="280" t="s">
        <v>192</v>
      </c>
      <c r="C1630" s="48">
        <f t="shared" ref="C1630" si="2077">(V1631-V1630)*1+(W1631-W1630)*32+(X1631-X1630)*12+(Y1631-Y1630)*6</f>
        <v>2214</v>
      </c>
      <c r="D1630" s="84">
        <f t="shared" si="2013"/>
        <v>1744</v>
      </c>
      <c r="E1630" s="45">
        <f t="shared" si="2026"/>
        <v>1756.000000000015</v>
      </c>
      <c r="F1630" s="45">
        <f t="shared" ref="F1630" si="2078">(Z1631-Z1630)*1</f>
        <v>80</v>
      </c>
      <c r="G1630" s="79">
        <f t="shared" ref="G1630" si="2079">C1630+D1630+F1630+E1630</f>
        <v>5794.0000000000146</v>
      </c>
      <c r="H1630" s="199">
        <v>4831</v>
      </c>
      <c r="I1630" s="199">
        <v>989</v>
      </c>
      <c r="J1630" s="200">
        <f t="shared" si="2060"/>
        <v>5820</v>
      </c>
      <c r="K1630" s="201">
        <f t="shared" si="2061"/>
        <v>25.999999999985448</v>
      </c>
      <c r="L1630" s="276">
        <v>502</v>
      </c>
      <c r="M1630" s="249">
        <v>0.39583333333333331</v>
      </c>
      <c r="N1630" s="235">
        <v>240927</v>
      </c>
      <c r="O1630" s="235">
        <v>118541</v>
      </c>
      <c r="P1630" s="235">
        <v>19691</v>
      </c>
      <c r="Q1630" s="235"/>
      <c r="R1630" s="235">
        <v>47296</v>
      </c>
      <c r="S1630" s="236">
        <v>3799.2</v>
      </c>
      <c r="T1630" s="236">
        <v>176.2</v>
      </c>
      <c r="U1630" s="236"/>
      <c r="V1630" s="235">
        <v>360626</v>
      </c>
      <c r="W1630" s="235">
        <v>137027</v>
      </c>
      <c r="X1630" s="235">
        <v>124127</v>
      </c>
      <c r="Y1630" s="235">
        <v>92778</v>
      </c>
      <c r="Z1630" s="235">
        <v>238082</v>
      </c>
    </row>
    <row r="1631" spans="1:27" ht="18" hidden="1" customHeight="1" x14ac:dyDescent="0.2">
      <c r="A1631" s="279">
        <f t="shared" si="1964"/>
        <v>44482</v>
      </c>
      <c r="B1631" s="280" t="s">
        <v>193</v>
      </c>
      <c r="C1631" s="48">
        <f t="shared" ref="C1631" si="2080">(V1632-V1631)*1+(W1632-W1631)*32+(X1632-X1631)*12+(Y1632-Y1631)*6</f>
        <v>2512</v>
      </c>
      <c r="D1631" s="84">
        <f t="shared" si="2013"/>
        <v>1600</v>
      </c>
      <c r="E1631" s="45">
        <f t="shared" si="2026"/>
        <v>1475.9999999999923</v>
      </c>
      <c r="F1631" s="45">
        <f t="shared" ref="F1631" si="2081">(Z1632-Z1631)*1</f>
        <v>92</v>
      </c>
      <c r="G1631" s="79">
        <f t="shared" ref="G1631" si="2082">C1631+D1631+F1631+E1631</f>
        <v>5679.9999999999927</v>
      </c>
      <c r="H1631" s="199">
        <v>4876</v>
      </c>
      <c r="I1631" s="199">
        <v>1072</v>
      </c>
      <c r="J1631" s="200">
        <f t="shared" si="2060"/>
        <v>5948</v>
      </c>
      <c r="K1631" s="201">
        <f t="shared" si="2061"/>
        <v>268.00000000000728</v>
      </c>
      <c r="L1631" s="276">
        <v>494</v>
      </c>
      <c r="M1631" s="249">
        <v>0.41666666666666669</v>
      </c>
      <c r="N1631" s="235">
        <v>241007</v>
      </c>
      <c r="O1631" s="235">
        <v>118571</v>
      </c>
      <c r="P1631" s="235">
        <v>19829</v>
      </c>
      <c r="Q1631" s="235"/>
      <c r="R1631" s="235">
        <v>47296</v>
      </c>
      <c r="S1631" s="236">
        <v>3817</v>
      </c>
      <c r="T1631" s="236">
        <v>184.5</v>
      </c>
      <c r="U1631" s="236"/>
      <c r="V1631" s="235">
        <v>360832</v>
      </c>
      <c r="W1631" s="235">
        <v>137068</v>
      </c>
      <c r="X1631" s="235">
        <v>124185</v>
      </c>
      <c r="Y1631" s="235">
        <v>92778</v>
      </c>
      <c r="Z1631" s="235">
        <v>238162</v>
      </c>
    </row>
    <row r="1632" spans="1:27" ht="18" hidden="1" customHeight="1" x14ac:dyDescent="0.2">
      <c r="A1632" s="279">
        <f t="shared" si="1964"/>
        <v>44483</v>
      </c>
      <c r="B1632" s="280" t="s">
        <v>194</v>
      </c>
      <c r="C1632" s="48">
        <f t="shared" ref="C1632" si="2083">(V1633-V1632)*1+(W1633-W1632)*32+(X1633-X1632)*12+(Y1633-Y1632)*6</f>
        <v>2337</v>
      </c>
      <c r="D1632" s="84">
        <f t="shared" si="2013"/>
        <v>1608</v>
      </c>
      <c r="E1632" s="45">
        <f t="shared" si="2026"/>
        <v>1712.0000000000005</v>
      </c>
      <c r="F1632" s="45">
        <f t="shared" ref="F1632" si="2084">(Z1633-Z1632)*1</f>
        <v>79</v>
      </c>
      <c r="G1632" s="79">
        <f t="shared" ref="G1632" si="2085">C1632+D1632+F1632+E1632</f>
        <v>5736</v>
      </c>
      <c r="H1632" s="199">
        <v>4807</v>
      </c>
      <c r="I1632" s="199">
        <v>1088</v>
      </c>
      <c r="J1632" s="200">
        <f t="shared" si="2060"/>
        <v>5895</v>
      </c>
      <c r="K1632" s="201">
        <f t="shared" si="2061"/>
        <v>159</v>
      </c>
      <c r="L1632" s="276">
        <v>488</v>
      </c>
      <c r="M1632" s="249">
        <v>0.44791666666666669</v>
      </c>
      <c r="N1632" s="235">
        <v>241077</v>
      </c>
      <c r="O1632" s="235">
        <v>118597</v>
      </c>
      <c r="P1632" s="235">
        <v>19959</v>
      </c>
      <c r="Q1632" s="235"/>
      <c r="R1632" s="235">
        <v>47296</v>
      </c>
      <c r="S1632" s="236">
        <v>3833.6</v>
      </c>
      <c r="T1632" s="236">
        <v>188.2</v>
      </c>
      <c r="U1632" s="236"/>
      <c r="V1632" s="235">
        <v>361032</v>
      </c>
      <c r="W1632" s="235">
        <v>137114</v>
      </c>
      <c r="X1632" s="235">
        <v>124255</v>
      </c>
      <c r="Y1632" s="235">
        <v>92778</v>
      </c>
      <c r="Z1632" s="235">
        <v>238254</v>
      </c>
    </row>
    <row r="1633" spans="1:26" ht="18" hidden="1" customHeight="1" x14ac:dyDescent="0.2">
      <c r="A1633" s="279">
        <f t="shared" si="1964"/>
        <v>44484</v>
      </c>
      <c r="B1633" s="278" t="s">
        <v>189</v>
      </c>
      <c r="C1633" s="48">
        <f t="shared" ref="C1633:C1635" si="2086">(V1634-V1633)*1+(W1634-W1633)*32+(X1634-X1633)*12+(Y1634-Y1633)*6</f>
        <v>0</v>
      </c>
      <c r="D1633" s="84">
        <f t="shared" si="2013"/>
        <v>0</v>
      </c>
      <c r="E1633" s="45">
        <f t="shared" si="2026"/>
        <v>0</v>
      </c>
      <c r="F1633" s="45">
        <f t="shared" ref="F1633:F1635" si="2087">(Z1634-Z1633)*1</f>
        <v>0</v>
      </c>
      <c r="G1633" s="79">
        <f t="shared" ref="G1633:G1635" si="2088">C1633+D1633+F1633+E1633</f>
        <v>0</v>
      </c>
      <c r="H1633" s="199">
        <v>4459</v>
      </c>
      <c r="I1633" s="199">
        <v>1080</v>
      </c>
      <c r="J1633" s="200">
        <f t="shared" si="2060"/>
        <v>5539</v>
      </c>
      <c r="K1633" s="201">
        <f t="shared" si="2061"/>
        <v>5539</v>
      </c>
      <c r="L1633" s="276">
        <v>475</v>
      </c>
      <c r="M1633" s="249">
        <v>3.125E-2</v>
      </c>
      <c r="N1633" s="235">
        <v>241147</v>
      </c>
      <c r="O1633" s="235">
        <v>118625</v>
      </c>
      <c r="P1633" s="235">
        <v>20090</v>
      </c>
      <c r="Q1633" s="235"/>
      <c r="R1633" s="235">
        <v>47296</v>
      </c>
      <c r="S1633" s="236">
        <v>3850.6</v>
      </c>
      <c r="T1633" s="236">
        <v>197</v>
      </c>
      <c r="U1633" s="236"/>
      <c r="V1633" s="235">
        <v>361237</v>
      </c>
      <c r="W1633" s="235">
        <v>137157</v>
      </c>
      <c r="X1633" s="235">
        <v>124318</v>
      </c>
      <c r="Y1633" s="235">
        <v>92778</v>
      </c>
      <c r="Z1633" s="235">
        <v>238333</v>
      </c>
    </row>
    <row r="1634" spans="1:26" ht="18" hidden="1" customHeight="1" x14ac:dyDescent="0.2">
      <c r="A1634" s="279">
        <f t="shared" si="1964"/>
        <v>44485</v>
      </c>
      <c r="B1634" s="279" t="s">
        <v>195</v>
      </c>
      <c r="C1634" s="48">
        <f t="shared" si="2086"/>
        <v>0</v>
      </c>
      <c r="D1634" s="84">
        <f t="shared" si="2013"/>
        <v>0</v>
      </c>
      <c r="E1634" s="45">
        <f t="shared" ref="E1634:E1665" si="2089">(S1635-S1634)*80+(T1635-T1634)*40</f>
        <v>0</v>
      </c>
      <c r="F1634" s="45">
        <f t="shared" si="2087"/>
        <v>0</v>
      </c>
      <c r="G1634" s="79">
        <f t="shared" si="2088"/>
        <v>0</v>
      </c>
      <c r="H1634" s="199">
        <v>0</v>
      </c>
      <c r="I1634" s="199">
        <v>832</v>
      </c>
      <c r="J1634" s="200">
        <f t="shared" si="2060"/>
        <v>832</v>
      </c>
      <c r="K1634" s="201">
        <f t="shared" si="2061"/>
        <v>832</v>
      </c>
      <c r="L1634" s="276">
        <v>103</v>
      </c>
      <c r="M1634" s="249">
        <v>0.89583333333333337</v>
      </c>
      <c r="N1634" s="153">
        <v>241147</v>
      </c>
      <c r="O1634" s="153">
        <v>118625</v>
      </c>
      <c r="P1634" s="153">
        <v>20090</v>
      </c>
      <c r="Q1634" s="153"/>
      <c r="R1634" s="153">
        <v>47296</v>
      </c>
      <c r="S1634" s="154">
        <v>3850.6</v>
      </c>
      <c r="T1634" s="154">
        <v>197</v>
      </c>
      <c r="U1634" s="154"/>
      <c r="V1634" s="153">
        <v>361237</v>
      </c>
      <c r="W1634" s="153">
        <v>137157</v>
      </c>
      <c r="X1634" s="153">
        <v>124318</v>
      </c>
      <c r="Y1634" s="153">
        <v>92778</v>
      </c>
      <c r="Z1634" s="153">
        <v>238333</v>
      </c>
    </row>
    <row r="1635" spans="1:26" ht="18" hidden="1" customHeight="1" x14ac:dyDescent="0.2">
      <c r="A1635" s="279">
        <f t="shared" si="1964"/>
        <v>44486</v>
      </c>
      <c r="B1635" s="278" t="s">
        <v>190</v>
      </c>
      <c r="C1635" s="48">
        <f t="shared" si="2086"/>
        <v>2927</v>
      </c>
      <c r="D1635" s="84">
        <f t="shared" si="2013"/>
        <v>4016</v>
      </c>
      <c r="E1635" s="45">
        <f t="shared" si="2089"/>
        <v>2199.9999999999932</v>
      </c>
      <c r="F1635" s="45">
        <f t="shared" si="2087"/>
        <v>227</v>
      </c>
      <c r="G1635" s="79">
        <f t="shared" si="2088"/>
        <v>9369.9999999999927</v>
      </c>
      <c r="H1635" s="199">
        <v>0</v>
      </c>
      <c r="I1635" s="199">
        <v>2075</v>
      </c>
      <c r="J1635" s="200">
        <f t="shared" si="2060"/>
        <v>2075</v>
      </c>
      <c r="K1635" s="201">
        <f t="shared" si="2061"/>
        <v>-7294.9999999999927</v>
      </c>
      <c r="L1635" s="276">
        <v>119</v>
      </c>
      <c r="M1635" s="249">
        <v>0.39583333333333331</v>
      </c>
      <c r="N1635" s="153">
        <v>241147</v>
      </c>
      <c r="O1635" s="153">
        <v>118625</v>
      </c>
      <c r="P1635" s="153">
        <v>20090</v>
      </c>
      <c r="Q1635" s="153"/>
      <c r="R1635" s="153">
        <v>47296</v>
      </c>
      <c r="S1635" s="154">
        <v>3850.6</v>
      </c>
      <c r="T1635" s="154">
        <v>197</v>
      </c>
      <c r="U1635" s="154"/>
      <c r="V1635" s="153">
        <v>361237</v>
      </c>
      <c r="W1635" s="153">
        <v>137157</v>
      </c>
      <c r="X1635" s="153">
        <v>124318</v>
      </c>
      <c r="Y1635" s="153">
        <v>92778</v>
      </c>
      <c r="Z1635" s="153">
        <v>238333</v>
      </c>
    </row>
    <row r="1636" spans="1:26" ht="18" hidden="1" customHeight="1" x14ac:dyDescent="0.2">
      <c r="A1636" s="279">
        <f t="shared" si="1964"/>
        <v>44487</v>
      </c>
      <c r="B1636" s="280" t="s">
        <v>191</v>
      </c>
      <c r="C1636" s="48">
        <f t="shared" ref="C1636:C1637" si="2090">(V1637-V1636)*1+(W1637-W1636)*32+(X1637-X1636)*12+(Y1637-Y1636)*6</f>
        <v>0</v>
      </c>
      <c r="D1636" s="84">
        <f t="shared" si="2013"/>
        <v>0</v>
      </c>
      <c r="E1636" s="45">
        <f t="shared" si="2089"/>
        <v>0</v>
      </c>
      <c r="F1636" s="45">
        <f t="shared" ref="F1636:F1637" si="2091">(Z1637-Z1636)*1</f>
        <v>0</v>
      </c>
      <c r="G1636" s="79">
        <f t="shared" ref="G1636:G1637" si="2092">C1636+D1636+F1636+E1636</f>
        <v>0</v>
      </c>
      <c r="H1636" s="199">
        <v>4415</v>
      </c>
      <c r="I1636" s="199">
        <v>983</v>
      </c>
      <c r="J1636" s="200">
        <f t="shared" si="2060"/>
        <v>5398</v>
      </c>
      <c r="K1636" s="201">
        <f t="shared" si="2061"/>
        <v>5398</v>
      </c>
      <c r="L1636" s="276">
        <v>460</v>
      </c>
      <c r="M1636" s="249">
        <v>0.58333333333333337</v>
      </c>
      <c r="N1636" s="235">
        <v>241257</v>
      </c>
      <c r="O1636" s="235">
        <v>118669</v>
      </c>
      <c r="P1636" s="235">
        <v>20482</v>
      </c>
      <c r="Q1636" s="235"/>
      <c r="R1636" s="235">
        <v>47296</v>
      </c>
      <c r="S1636" s="236">
        <v>3870.7</v>
      </c>
      <c r="T1636" s="236">
        <v>211.8</v>
      </c>
      <c r="U1636" s="236"/>
      <c r="V1636" s="235">
        <v>361716</v>
      </c>
      <c r="W1636" s="235">
        <v>137214</v>
      </c>
      <c r="X1636" s="235">
        <v>124370</v>
      </c>
      <c r="Y1636" s="235">
        <v>92778</v>
      </c>
      <c r="Z1636" s="235">
        <v>238560</v>
      </c>
    </row>
    <row r="1637" spans="1:26" ht="18" hidden="1" customHeight="1" x14ac:dyDescent="0.2">
      <c r="A1637" s="279">
        <f t="shared" si="1964"/>
        <v>44488</v>
      </c>
      <c r="B1637" s="280" t="s">
        <v>192</v>
      </c>
      <c r="C1637" s="48">
        <f t="shared" si="2090"/>
        <v>4031</v>
      </c>
      <c r="D1637" s="84">
        <f t="shared" si="2013"/>
        <v>3448</v>
      </c>
      <c r="E1637" s="45">
        <f t="shared" si="2089"/>
        <v>3531.9999999999991</v>
      </c>
      <c r="F1637" s="45">
        <f t="shared" si="2091"/>
        <v>94</v>
      </c>
      <c r="G1637" s="79">
        <f t="shared" si="2092"/>
        <v>11105</v>
      </c>
      <c r="H1637" s="199">
        <v>4526</v>
      </c>
      <c r="I1637" s="199">
        <v>1079</v>
      </c>
      <c r="J1637" s="200">
        <f t="shared" si="2060"/>
        <v>5605</v>
      </c>
      <c r="K1637" s="201">
        <f t="shared" si="2061"/>
        <v>-5500</v>
      </c>
      <c r="L1637" s="276">
        <v>442</v>
      </c>
      <c r="M1637" s="249">
        <v>0.61458333333333337</v>
      </c>
      <c r="N1637" s="153">
        <v>241257</v>
      </c>
      <c r="O1637" s="153">
        <v>118669</v>
      </c>
      <c r="P1637" s="153">
        <v>20482</v>
      </c>
      <c r="Q1637" s="153"/>
      <c r="R1637" s="153">
        <v>47296</v>
      </c>
      <c r="S1637" s="154">
        <v>3870.7</v>
      </c>
      <c r="T1637" s="154">
        <v>211.8</v>
      </c>
      <c r="U1637" s="154"/>
      <c r="V1637" s="153">
        <v>361716</v>
      </c>
      <c r="W1637" s="153">
        <v>137214</v>
      </c>
      <c r="X1637" s="153">
        <v>124370</v>
      </c>
      <c r="Y1637" s="153">
        <v>92778</v>
      </c>
      <c r="Z1637" s="153">
        <v>238560</v>
      </c>
    </row>
    <row r="1638" spans="1:26" ht="18" hidden="1" customHeight="1" x14ac:dyDescent="0.2">
      <c r="A1638" s="279">
        <f t="shared" si="1964"/>
        <v>44489</v>
      </c>
      <c r="B1638" s="280" t="s">
        <v>193</v>
      </c>
      <c r="C1638" s="48">
        <f t="shared" ref="C1638" si="2093">(V1639-V1638)*1+(W1639-W1638)*32+(X1639-X1638)*12+(Y1639-Y1638)*6</f>
        <v>2493</v>
      </c>
      <c r="D1638" s="84">
        <f t="shared" si="2013"/>
        <v>3911</v>
      </c>
      <c r="E1638" s="45">
        <f t="shared" si="2089"/>
        <v>1984.0000000000293</v>
      </c>
      <c r="F1638" s="45">
        <f t="shared" ref="F1638" si="2094">(Z1639-Z1638)*1</f>
        <v>67</v>
      </c>
      <c r="G1638" s="79">
        <f t="shared" ref="G1638" si="2095">C1638+D1638+F1638+E1638</f>
        <v>8455.0000000000291</v>
      </c>
      <c r="H1638" s="199">
        <v>4596</v>
      </c>
      <c r="I1638" s="199">
        <v>1130</v>
      </c>
      <c r="J1638" s="200">
        <f t="shared" si="2060"/>
        <v>5726</v>
      </c>
      <c r="K1638" s="201">
        <f t="shared" si="2061"/>
        <v>-2729.0000000000291</v>
      </c>
      <c r="L1638" s="276">
        <v>496</v>
      </c>
      <c r="M1638" s="249">
        <v>0.61458333333333337</v>
      </c>
      <c r="N1638" s="235">
        <v>241397</v>
      </c>
      <c r="O1638" s="235">
        <v>118723</v>
      </c>
      <c r="P1638" s="235">
        <v>20773</v>
      </c>
      <c r="Q1638" s="235"/>
      <c r="R1638" s="235">
        <v>47296</v>
      </c>
      <c r="S1638" s="236">
        <v>3904.7</v>
      </c>
      <c r="T1638" s="236">
        <v>232.1</v>
      </c>
      <c r="U1638" s="236"/>
      <c r="V1638" s="235">
        <v>362087</v>
      </c>
      <c r="W1638" s="235">
        <v>137280</v>
      </c>
      <c r="X1638" s="235">
        <v>124499</v>
      </c>
      <c r="Y1638" s="235">
        <v>92778</v>
      </c>
      <c r="Z1638" s="235">
        <v>238654</v>
      </c>
    </row>
    <row r="1639" spans="1:26" ht="18" hidden="1" customHeight="1" x14ac:dyDescent="0.2">
      <c r="A1639" s="279">
        <f t="shared" si="1964"/>
        <v>44490</v>
      </c>
      <c r="B1639" s="280" t="s">
        <v>194</v>
      </c>
      <c r="C1639" s="48">
        <f t="shared" ref="C1639" si="2096">(V1640-V1639)*1+(W1640-W1639)*32+(X1640-X1639)*12+(Y1640-Y1639)*6</f>
        <v>1604</v>
      </c>
      <c r="D1639" s="84">
        <f t="shared" si="2013"/>
        <v>1841</v>
      </c>
      <c r="E1639" s="45">
        <f t="shared" si="2089"/>
        <v>1695.9999999999923</v>
      </c>
      <c r="F1639" s="45">
        <f t="shared" ref="F1639" si="2097">(Z1640-Z1639)*1</f>
        <v>43</v>
      </c>
      <c r="G1639" s="79">
        <f t="shared" ref="G1639" si="2098">C1639+D1639+F1639+E1639</f>
        <v>5183.9999999999927</v>
      </c>
      <c r="H1639" s="199">
        <v>4682</v>
      </c>
      <c r="I1639" s="199">
        <v>1136</v>
      </c>
      <c r="J1639" s="200">
        <f t="shared" si="2060"/>
        <v>5818</v>
      </c>
      <c r="K1639" s="201">
        <f t="shared" si="2061"/>
        <v>634.00000000000728</v>
      </c>
      <c r="L1639" s="276">
        <v>466</v>
      </c>
      <c r="M1639" s="249">
        <v>0.39583333333333331</v>
      </c>
      <c r="N1639" s="235">
        <v>241477</v>
      </c>
      <c r="O1639" s="235">
        <v>118753</v>
      </c>
      <c r="P1639" s="235">
        <v>20932</v>
      </c>
      <c r="Q1639" s="235"/>
      <c r="R1639" s="235">
        <v>49295</v>
      </c>
      <c r="S1639" s="236">
        <v>3922.3</v>
      </c>
      <c r="T1639" s="236">
        <v>246.5</v>
      </c>
      <c r="U1639" s="236"/>
      <c r="V1639" s="235">
        <v>362776</v>
      </c>
      <c r="W1639" s="235">
        <v>137315</v>
      </c>
      <c r="X1639" s="235">
        <v>124556</v>
      </c>
      <c r="Y1639" s="235">
        <v>92778</v>
      </c>
      <c r="Z1639" s="235">
        <v>238721</v>
      </c>
    </row>
    <row r="1640" spans="1:26" ht="18" hidden="1" customHeight="1" x14ac:dyDescent="0.2">
      <c r="A1640" s="279">
        <f t="shared" ref="A1640:A1703" si="2099">A1639+1</f>
        <v>44491</v>
      </c>
      <c r="B1640" s="278" t="s">
        <v>189</v>
      </c>
      <c r="C1640" s="48">
        <f t="shared" ref="C1640:C1642" si="2100">(V1641-V1640)*1+(W1641-W1640)*32+(X1641-X1640)*12+(Y1641-Y1640)*6</f>
        <v>0</v>
      </c>
      <c r="D1640" s="84">
        <f t="shared" si="2013"/>
        <v>0</v>
      </c>
      <c r="E1640" s="45">
        <f t="shared" si="2089"/>
        <v>0</v>
      </c>
      <c r="F1640" s="45">
        <f t="shared" ref="F1640:F1642" si="2101">(Z1641-Z1640)*1</f>
        <v>0</v>
      </c>
      <c r="G1640" s="79">
        <f t="shared" ref="G1640:G1642" si="2102">C1640+D1640+F1640+E1640</f>
        <v>0</v>
      </c>
      <c r="H1640" s="199">
        <v>4532</v>
      </c>
      <c r="I1640" s="199">
        <v>1105</v>
      </c>
      <c r="J1640" s="200">
        <f t="shared" si="2060"/>
        <v>5637</v>
      </c>
      <c r="K1640" s="201">
        <f t="shared" si="2061"/>
        <v>5637</v>
      </c>
      <c r="L1640" s="276">
        <v>469</v>
      </c>
      <c r="M1640" s="249">
        <v>0.45833333333333331</v>
      </c>
      <c r="N1640" s="235">
        <v>241557</v>
      </c>
      <c r="O1640" s="235">
        <v>118784</v>
      </c>
      <c r="P1640" s="235">
        <v>21082</v>
      </c>
      <c r="Q1640" s="235"/>
      <c r="R1640" s="235">
        <v>49296</v>
      </c>
      <c r="S1640" s="236">
        <v>3938.9</v>
      </c>
      <c r="T1640" s="236">
        <v>255.7</v>
      </c>
      <c r="U1640" s="236"/>
      <c r="V1640" s="235">
        <v>362460</v>
      </c>
      <c r="W1640" s="235">
        <v>137348</v>
      </c>
      <c r="X1640" s="235">
        <v>124628</v>
      </c>
      <c r="Y1640" s="235">
        <v>92778</v>
      </c>
      <c r="Z1640" s="235">
        <v>238764</v>
      </c>
    </row>
    <row r="1641" spans="1:26" ht="18" hidden="1" customHeight="1" x14ac:dyDescent="0.2">
      <c r="A1641" s="279">
        <f t="shared" si="2099"/>
        <v>44492</v>
      </c>
      <c r="B1641" s="279" t="s">
        <v>195</v>
      </c>
      <c r="C1641" s="48">
        <f t="shared" si="2100"/>
        <v>0</v>
      </c>
      <c r="D1641" s="84">
        <f t="shared" si="2013"/>
        <v>0</v>
      </c>
      <c r="E1641" s="45">
        <f t="shared" si="2089"/>
        <v>0</v>
      </c>
      <c r="F1641" s="45">
        <f t="shared" si="2101"/>
        <v>0</v>
      </c>
      <c r="G1641" s="79">
        <f t="shared" si="2102"/>
        <v>0</v>
      </c>
      <c r="H1641" s="199">
        <v>0</v>
      </c>
      <c r="I1641" s="199">
        <f>1156+871</f>
        <v>2027</v>
      </c>
      <c r="J1641" s="200">
        <f t="shared" si="2060"/>
        <v>2027</v>
      </c>
      <c r="K1641" s="201">
        <f t="shared" si="2061"/>
        <v>2027</v>
      </c>
      <c r="L1641" s="276">
        <v>112</v>
      </c>
      <c r="M1641" s="249">
        <v>8.3333333333333329E-2</v>
      </c>
      <c r="N1641" s="153">
        <v>241557</v>
      </c>
      <c r="O1641" s="153">
        <v>118784</v>
      </c>
      <c r="P1641" s="153">
        <v>21082</v>
      </c>
      <c r="Q1641" s="153"/>
      <c r="R1641" s="153">
        <v>49296</v>
      </c>
      <c r="S1641" s="154">
        <v>3938.9</v>
      </c>
      <c r="T1641" s="154">
        <v>255.7</v>
      </c>
      <c r="U1641" s="154"/>
      <c r="V1641" s="153">
        <v>362460</v>
      </c>
      <c r="W1641" s="153">
        <v>137348</v>
      </c>
      <c r="X1641" s="153">
        <v>124628</v>
      </c>
      <c r="Y1641" s="153">
        <v>92778</v>
      </c>
      <c r="Z1641" s="153">
        <v>238764</v>
      </c>
    </row>
    <row r="1642" spans="1:26" ht="18" hidden="1" customHeight="1" x14ac:dyDescent="0.2">
      <c r="A1642" s="279">
        <f t="shared" si="2099"/>
        <v>44493</v>
      </c>
      <c r="B1642" s="278" t="s">
        <v>190</v>
      </c>
      <c r="C1642" s="48">
        <f t="shared" si="2100"/>
        <v>2888</v>
      </c>
      <c r="D1642" s="84">
        <f t="shared" si="2013"/>
        <v>2016</v>
      </c>
      <c r="E1642" s="45">
        <f t="shared" si="2089"/>
        <v>3547.9999999999927</v>
      </c>
      <c r="F1642" s="45">
        <f t="shared" si="2101"/>
        <v>276</v>
      </c>
      <c r="G1642" s="79">
        <f t="shared" si="2102"/>
        <v>8727.9999999999927</v>
      </c>
      <c r="H1642" s="199">
        <v>0</v>
      </c>
      <c r="I1642" s="199">
        <v>2153</v>
      </c>
      <c r="J1642" s="200">
        <f t="shared" si="2060"/>
        <v>2153</v>
      </c>
      <c r="K1642" s="201">
        <f t="shared" si="2061"/>
        <v>-6574.9999999999927</v>
      </c>
      <c r="L1642" s="276">
        <v>119</v>
      </c>
      <c r="M1642" s="249">
        <v>0.6875</v>
      </c>
      <c r="N1642" s="153">
        <v>241557</v>
      </c>
      <c r="O1642" s="153">
        <v>118784</v>
      </c>
      <c r="P1642" s="153">
        <v>21082</v>
      </c>
      <c r="Q1642" s="153"/>
      <c r="R1642" s="153">
        <v>49296</v>
      </c>
      <c r="S1642" s="154">
        <v>3938.9</v>
      </c>
      <c r="T1642" s="154">
        <v>255.7</v>
      </c>
      <c r="U1642" s="154"/>
      <c r="V1642" s="153">
        <v>362460</v>
      </c>
      <c r="W1642" s="153">
        <v>137348</v>
      </c>
      <c r="X1642" s="153">
        <v>124628</v>
      </c>
      <c r="Y1642" s="153">
        <v>92778</v>
      </c>
      <c r="Z1642" s="153">
        <v>238764</v>
      </c>
    </row>
    <row r="1643" spans="1:26" ht="18" hidden="1" customHeight="1" x14ac:dyDescent="0.2">
      <c r="A1643" s="279">
        <f t="shared" si="2099"/>
        <v>44494</v>
      </c>
      <c r="B1643" s="280" t="s">
        <v>191</v>
      </c>
      <c r="C1643" s="48">
        <f t="shared" ref="C1643" si="2103">(V1644-V1643)*1+(W1644-W1643)*32+(X1644-X1643)*12+(Y1644-Y1643)*6</f>
        <v>1908</v>
      </c>
      <c r="D1643" s="84">
        <f t="shared" si="2013"/>
        <v>1832</v>
      </c>
      <c r="E1643" s="45">
        <f t="shared" si="2089"/>
        <v>1392.0000000000141</v>
      </c>
      <c r="F1643" s="45">
        <f t="shared" ref="F1643" si="2104">(Z1644-Z1643)*1</f>
        <v>100</v>
      </c>
      <c r="G1643" s="79">
        <f t="shared" ref="G1643" si="2105">C1643+D1643+F1643+E1643</f>
        <v>5232.0000000000146</v>
      </c>
      <c r="H1643" s="199">
        <v>4556</v>
      </c>
      <c r="I1643" s="199">
        <v>961</v>
      </c>
      <c r="J1643" s="200">
        <f t="shared" si="2060"/>
        <v>5517</v>
      </c>
      <c r="K1643" s="201">
        <f t="shared" si="2061"/>
        <v>284.99999999998545</v>
      </c>
      <c r="L1643" s="276">
        <v>434</v>
      </c>
      <c r="M1643" s="276" t="s">
        <v>209</v>
      </c>
      <c r="N1643" s="235">
        <v>241687</v>
      </c>
      <c r="O1643" s="235">
        <v>118836</v>
      </c>
      <c r="P1643" s="235">
        <v>21454</v>
      </c>
      <c r="Q1643" s="235"/>
      <c r="R1643" s="235">
        <v>47296</v>
      </c>
      <c r="S1643" s="236">
        <v>3960.5</v>
      </c>
      <c r="T1643" s="236">
        <v>301.2</v>
      </c>
      <c r="U1643" s="236"/>
      <c r="V1643" s="235">
        <v>362912</v>
      </c>
      <c r="W1643" s="235">
        <v>137399</v>
      </c>
      <c r="X1643" s="235">
        <v>124695</v>
      </c>
      <c r="Y1643" s="235">
        <v>92778</v>
      </c>
      <c r="Z1643" s="235">
        <v>239040</v>
      </c>
    </row>
    <row r="1644" spans="1:26" ht="18" hidden="1" customHeight="1" x14ac:dyDescent="0.2">
      <c r="A1644" s="279">
        <f t="shared" si="2099"/>
        <v>44495</v>
      </c>
      <c r="B1644" s="280" t="s">
        <v>192</v>
      </c>
      <c r="C1644" s="48">
        <f t="shared" ref="C1644" si="2106">(V1645-V1644)*1+(W1645-W1644)*32+(X1645-X1644)*12+(Y1645-Y1644)*6</f>
        <v>2149</v>
      </c>
      <c r="D1644" s="84">
        <f t="shared" si="2013"/>
        <v>1800</v>
      </c>
      <c r="E1644" s="45">
        <f t="shared" si="2089"/>
        <v>1507.9999999999723</v>
      </c>
      <c r="F1644" s="45">
        <f t="shared" ref="F1644" si="2107">(Z1645-Z1644)*1</f>
        <v>78</v>
      </c>
      <c r="G1644" s="79">
        <f t="shared" ref="G1644" si="2108">C1644+D1644+F1644+E1644</f>
        <v>5534.9999999999727</v>
      </c>
      <c r="H1644" s="199">
        <v>4577</v>
      </c>
      <c r="I1644" s="199">
        <v>1142</v>
      </c>
      <c r="J1644" s="200">
        <f t="shared" si="2060"/>
        <v>5719</v>
      </c>
      <c r="K1644" s="201">
        <f t="shared" si="2061"/>
        <v>184.00000000002728</v>
      </c>
      <c r="L1644" s="276">
        <v>414</v>
      </c>
      <c r="M1644" s="249">
        <v>0.39583333333333331</v>
      </c>
      <c r="N1644" s="235">
        <v>241767</v>
      </c>
      <c r="O1644" s="235">
        <v>118867</v>
      </c>
      <c r="P1644" s="235">
        <v>21603</v>
      </c>
      <c r="Q1644" s="235"/>
      <c r="R1644" s="235">
        <v>47296</v>
      </c>
      <c r="S1644" s="236">
        <v>3977.8</v>
      </c>
      <c r="T1644" s="236">
        <v>301.39999999999998</v>
      </c>
      <c r="U1644" s="236"/>
      <c r="V1644" s="235">
        <v>363092</v>
      </c>
      <c r="W1644" s="235">
        <v>137432</v>
      </c>
      <c r="X1644" s="235">
        <v>124751</v>
      </c>
      <c r="Y1644" s="235">
        <v>92778</v>
      </c>
      <c r="Z1644" s="235">
        <v>239140</v>
      </c>
    </row>
    <row r="1645" spans="1:26" ht="18" hidden="1" customHeight="1" x14ac:dyDescent="0.2">
      <c r="A1645" s="279">
        <f t="shared" si="2099"/>
        <v>44496</v>
      </c>
      <c r="B1645" s="280" t="s">
        <v>193</v>
      </c>
      <c r="C1645" s="48">
        <f t="shared" ref="C1645" si="2109">(V1646-V1645)*1+(W1646-W1645)*32+(X1646-X1645)*12+(Y1646-Y1645)*6</f>
        <v>2151</v>
      </c>
      <c r="D1645" s="84">
        <f t="shared" si="2013"/>
        <v>1832</v>
      </c>
      <c r="E1645" s="45">
        <f t="shared" si="2089"/>
        <v>1352.0000000000209</v>
      </c>
      <c r="F1645" s="45">
        <f t="shared" ref="F1645" si="2110">(Z1646-Z1645)*1</f>
        <v>69</v>
      </c>
      <c r="G1645" s="79">
        <f t="shared" ref="G1645" si="2111">C1645+D1645+F1645+E1645</f>
        <v>5404.0000000000209</v>
      </c>
      <c r="H1645" s="199">
        <v>4858</v>
      </c>
      <c r="I1645" s="199">
        <v>1165</v>
      </c>
      <c r="J1645" s="200">
        <f t="shared" si="2060"/>
        <v>6023</v>
      </c>
      <c r="K1645" s="201">
        <f t="shared" si="2061"/>
        <v>618.99999999997908</v>
      </c>
      <c r="L1645" s="276">
        <v>460</v>
      </c>
      <c r="M1645" s="249">
        <v>0.39583333333333331</v>
      </c>
      <c r="N1645" s="235">
        <v>241847</v>
      </c>
      <c r="O1645" s="235">
        <v>118898</v>
      </c>
      <c r="P1645" s="235">
        <v>21748</v>
      </c>
      <c r="Q1645" s="235"/>
      <c r="R1645" s="235">
        <v>47296</v>
      </c>
      <c r="S1645" s="236">
        <v>3993.7</v>
      </c>
      <c r="T1645" s="236">
        <v>307.3</v>
      </c>
      <c r="U1645" s="236"/>
      <c r="V1645" s="235">
        <v>363265</v>
      </c>
      <c r="W1645" s="235">
        <v>137466</v>
      </c>
      <c r="X1645" s="235">
        <v>124825</v>
      </c>
      <c r="Y1645" s="235">
        <v>92778</v>
      </c>
      <c r="Z1645" s="235">
        <v>239218</v>
      </c>
    </row>
    <row r="1646" spans="1:26" ht="18" hidden="1" customHeight="1" x14ac:dyDescent="0.2">
      <c r="A1646" s="279">
        <f t="shared" si="2099"/>
        <v>44497</v>
      </c>
      <c r="B1646" s="280" t="s">
        <v>194</v>
      </c>
      <c r="C1646" s="48">
        <f t="shared" ref="C1646" si="2112">(V1647-V1646)*1+(W1647-W1646)*32+(X1647-X1646)*12+(Y1647-Y1646)*6</f>
        <v>1865</v>
      </c>
      <c r="D1646" s="84">
        <f t="shared" si="2013"/>
        <v>1880</v>
      </c>
      <c r="E1646" s="45">
        <f t="shared" si="2089"/>
        <v>1303.9999999999941</v>
      </c>
      <c r="F1646" s="45">
        <f t="shared" ref="F1646" si="2113">(Z1647-Z1646)*1</f>
        <v>80</v>
      </c>
      <c r="G1646" s="79">
        <f t="shared" ref="G1646" si="2114">C1646+D1646+F1646+E1646</f>
        <v>5128.9999999999945</v>
      </c>
      <c r="H1646" s="199">
        <v>4417</v>
      </c>
      <c r="I1646" s="199">
        <v>1148</v>
      </c>
      <c r="J1646" s="200">
        <f t="shared" si="2060"/>
        <v>5565</v>
      </c>
      <c r="K1646" s="201">
        <f t="shared" si="2061"/>
        <v>436.00000000000546</v>
      </c>
      <c r="L1646" s="276">
        <v>432</v>
      </c>
      <c r="M1646" s="249">
        <v>0.45833333333333331</v>
      </c>
      <c r="N1646" s="235">
        <v>241927</v>
      </c>
      <c r="O1646" s="235">
        <v>118929</v>
      </c>
      <c r="P1646" s="235">
        <v>21897</v>
      </c>
      <c r="Q1646" s="235"/>
      <c r="R1646" s="235">
        <v>47296</v>
      </c>
      <c r="S1646" s="236">
        <v>4012.9</v>
      </c>
      <c r="T1646" s="236">
        <v>302.7</v>
      </c>
      <c r="U1646" s="236"/>
      <c r="V1646" s="235">
        <v>363464</v>
      </c>
      <c r="W1646" s="235">
        <v>137500</v>
      </c>
      <c r="X1646" s="235">
        <v>124897</v>
      </c>
      <c r="Y1646" s="235">
        <v>92778</v>
      </c>
      <c r="Z1646" s="235">
        <v>239287</v>
      </c>
    </row>
    <row r="1647" spans="1:26" ht="18" hidden="1" customHeight="1" x14ac:dyDescent="0.2">
      <c r="A1647" s="279">
        <f t="shared" si="2099"/>
        <v>44498</v>
      </c>
      <c r="B1647" s="278" t="s">
        <v>189</v>
      </c>
      <c r="C1647" s="48">
        <f t="shared" ref="C1647:C1649" si="2115">(V1648-V1647)*1+(W1648-W1647)*32+(X1648-X1647)*12+(Y1648-Y1647)*6</f>
        <v>0</v>
      </c>
      <c r="D1647" s="84">
        <f t="shared" si="2013"/>
        <v>0</v>
      </c>
      <c r="E1647" s="45">
        <f t="shared" si="2089"/>
        <v>0</v>
      </c>
      <c r="F1647" s="45">
        <f t="shared" ref="F1647:F1649" si="2116">(Z1648-Z1647)*1</f>
        <v>0</v>
      </c>
      <c r="G1647" s="79">
        <f t="shared" ref="G1647:G1649" si="2117">C1647+D1647+F1647+E1647</f>
        <v>0</v>
      </c>
      <c r="H1647" s="199">
        <v>4411</v>
      </c>
      <c r="I1647" s="199">
        <v>898</v>
      </c>
      <c r="J1647" s="200">
        <f t="shared" si="2060"/>
        <v>5309</v>
      </c>
      <c r="K1647" s="201">
        <f t="shared" si="2061"/>
        <v>5309</v>
      </c>
      <c r="L1647" s="276">
        <v>443</v>
      </c>
      <c r="M1647" s="249">
        <v>0.45833333333333331</v>
      </c>
      <c r="N1647" s="235">
        <v>242017</v>
      </c>
      <c r="O1647" s="235">
        <v>118961</v>
      </c>
      <c r="P1647" s="235">
        <v>22042</v>
      </c>
      <c r="Q1647" s="235"/>
      <c r="R1647" s="235">
        <v>47296</v>
      </c>
      <c r="S1647" s="236">
        <v>4028.5</v>
      </c>
      <c r="T1647" s="236">
        <v>304.10000000000002</v>
      </c>
      <c r="U1647" s="236"/>
      <c r="V1647" s="235">
        <v>363649</v>
      </c>
      <c r="W1647" s="235">
        <v>137533</v>
      </c>
      <c r="X1647" s="235">
        <v>124949</v>
      </c>
      <c r="Y1647" s="235">
        <v>92778</v>
      </c>
      <c r="Z1647" s="235">
        <v>239367</v>
      </c>
    </row>
    <row r="1648" spans="1:26" ht="18" hidden="1" customHeight="1" x14ac:dyDescent="0.2">
      <c r="A1648" s="279">
        <f t="shared" si="2099"/>
        <v>44499</v>
      </c>
      <c r="B1648" s="279" t="s">
        <v>195</v>
      </c>
      <c r="C1648" s="48">
        <f t="shared" si="2115"/>
        <v>0</v>
      </c>
      <c r="D1648" s="84">
        <f t="shared" si="2013"/>
        <v>0</v>
      </c>
      <c r="E1648" s="45">
        <f t="shared" si="2089"/>
        <v>0</v>
      </c>
      <c r="F1648" s="45">
        <f t="shared" si="2116"/>
        <v>0</v>
      </c>
      <c r="G1648" s="79">
        <f t="shared" si="2117"/>
        <v>0</v>
      </c>
      <c r="H1648" s="199">
        <v>0</v>
      </c>
      <c r="I1648" s="199">
        <f>1113+898</f>
        <v>2011</v>
      </c>
      <c r="J1648" s="200">
        <f t="shared" si="2060"/>
        <v>2011</v>
      </c>
      <c r="K1648" s="201">
        <f t="shared" si="2061"/>
        <v>2011</v>
      </c>
      <c r="L1648" s="276">
        <v>112</v>
      </c>
      <c r="M1648" s="249">
        <v>7.2916666666666671E-2</v>
      </c>
      <c r="N1648" s="153">
        <v>242017</v>
      </c>
      <c r="O1648" s="153">
        <v>118961</v>
      </c>
      <c r="P1648" s="153">
        <v>22042</v>
      </c>
      <c r="Q1648" s="153"/>
      <c r="R1648" s="153">
        <v>47296</v>
      </c>
      <c r="S1648" s="154">
        <v>4028.5</v>
      </c>
      <c r="T1648" s="154">
        <v>304.10000000000002</v>
      </c>
      <c r="U1648" s="154"/>
      <c r="V1648" s="153">
        <v>363649</v>
      </c>
      <c r="W1648" s="153">
        <v>137533</v>
      </c>
      <c r="X1648" s="153">
        <v>124949</v>
      </c>
      <c r="Y1648" s="153">
        <v>92778</v>
      </c>
      <c r="Z1648" s="153">
        <v>239367</v>
      </c>
    </row>
    <row r="1649" spans="1:26" ht="18" hidden="1" customHeight="1" x14ac:dyDescent="0.2">
      <c r="A1649" s="279">
        <f t="shared" si="2099"/>
        <v>44500</v>
      </c>
      <c r="B1649" s="278" t="s">
        <v>190</v>
      </c>
      <c r="C1649" s="48">
        <f t="shared" si="2115"/>
        <v>2620</v>
      </c>
      <c r="D1649" s="84">
        <f t="shared" si="2013"/>
        <v>2984</v>
      </c>
      <c r="E1649" s="45">
        <f t="shared" si="2089"/>
        <v>1719.9999999999841</v>
      </c>
      <c r="F1649" s="45">
        <f t="shared" si="2116"/>
        <v>263</v>
      </c>
      <c r="G1649" s="79">
        <f t="shared" si="2117"/>
        <v>7586.9999999999836</v>
      </c>
      <c r="H1649" s="199">
        <v>0</v>
      </c>
      <c r="I1649" s="199">
        <v>1330</v>
      </c>
      <c r="J1649" s="200">
        <f t="shared" ref="J1649:J1654" si="2118">H1649+I1649</f>
        <v>1330</v>
      </c>
      <c r="K1649" s="201">
        <f t="shared" ref="K1649:K1654" si="2119">J1649-G1649</f>
        <v>-6256.9999999999836</v>
      </c>
      <c r="L1649" s="276">
        <v>79</v>
      </c>
      <c r="M1649" s="249">
        <v>0.15625</v>
      </c>
      <c r="N1649" s="153">
        <v>242017</v>
      </c>
      <c r="O1649" s="153">
        <v>118961</v>
      </c>
      <c r="P1649" s="153">
        <v>22042</v>
      </c>
      <c r="Q1649" s="153"/>
      <c r="R1649" s="153">
        <v>47296</v>
      </c>
      <c r="S1649" s="154">
        <v>4028.5</v>
      </c>
      <c r="T1649" s="154">
        <v>304.10000000000002</v>
      </c>
      <c r="U1649" s="154"/>
      <c r="V1649" s="153">
        <v>363649</v>
      </c>
      <c r="W1649" s="153">
        <v>137533</v>
      </c>
      <c r="X1649" s="153">
        <v>124949</v>
      </c>
      <c r="Y1649" s="153">
        <v>92778</v>
      </c>
      <c r="Z1649" s="153">
        <v>239367</v>
      </c>
    </row>
    <row r="1650" spans="1:26" ht="18" customHeight="1" thickTop="1" x14ac:dyDescent="0.2">
      <c r="A1650" s="279">
        <f t="shared" si="2099"/>
        <v>44501</v>
      </c>
      <c r="B1650" s="280" t="s">
        <v>191</v>
      </c>
      <c r="C1650" s="48">
        <f t="shared" ref="C1650" si="2120">(V1651-V1650)*1+(W1651-W1650)*32+(X1651-X1650)*12+(Y1651-Y1650)*6</f>
        <v>2199</v>
      </c>
      <c r="D1650" s="84">
        <f t="shared" si="2013"/>
        <v>1744</v>
      </c>
      <c r="E1650" s="45">
        <f t="shared" si="2089"/>
        <v>1544.0000000000146</v>
      </c>
      <c r="F1650" s="45">
        <f t="shared" ref="F1650" si="2121">(Z1651-Z1650)*1</f>
        <v>82</v>
      </c>
      <c r="G1650" s="79">
        <f t="shared" ref="G1650" si="2122">C1650+D1650+F1650+E1650</f>
        <v>5569.0000000000146</v>
      </c>
      <c r="H1650" s="199">
        <v>4753</v>
      </c>
      <c r="I1650" s="199">
        <v>668</v>
      </c>
      <c r="J1650" s="200">
        <f t="shared" si="2118"/>
        <v>5421</v>
      </c>
      <c r="K1650" s="201">
        <f t="shared" si="2119"/>
        <v>-148.00000000001455</v>
      </c>
      <c r="L1650" s="276">
        <v>473</v>
      </c>
      <c r="M1650" s="249">
        <v>0.40625</v>
      </c>
      <c r="N1650" s="235">
        <v>242147</v>
      </c>
      <c r="O1650" s="235">
        <v>119013</v>
      </c>
      <c r="P1650" s="235">
        <v>22285</v>
      </c>
      <c r="Q1650" s="235"/>
      <c r="R1650" s="235">
        <v>47296</v>
      </c>
      <c r="S1650" s="236">
        <v>4049.7</v>
      </c>
      <c r="T1650" s="236">
        <v>304.7</v>
      </c>
      <c r="U1650" s="236"/>
      <c r="V1650" s="235">
        <v>364077</v>
      </c>
      <c r="W1650" s="235">
        <v>137582</v>
      </c>
      <c r="X1650" s="235">
        <v>125001</v>
      </c>
      <c r="Y1650" s="235">
        <v>92778</v>
      </c>
      <c r="Z1650" s="235">
        <v>239630</v>
      </c>
    </row>
    <row r="1651" spans="1:26" ht="18" customHeight="1" x14ac:dyDescent="0.2">
      <c r="A1651" s="279">
        <f t="shared" si="2099"/>
        <v>44502</v>
      </c>
      <c r="B1651" s="280" t="s">
        <v>192</v>
      </c>
      <c r="C1651" s="48">
        <f t="shared" ref="C1651:C1655" si="2123">(V1652-V1651)*1+(W1652-W1651)*32+(X1652-X1651)*12+(Y1652-Y1651)*6</f>
        <v>0</v>
      </c>
      <c r="D1651" s="84">
        <f t="shared" si="2013"/>
        <v>0</v>
      </c>
      <c r="E1651" s="45">
        <f t="shared" si="2089"/>
        <v>0</v>
      </c>
      <c r="F1651" s="45">
        <f t="shared" ref="F1651:F1655" si="2124">(Z1652-Z1651)*1</f>
        <v>0</v>
      </c>
      <c r="G1651" s="79">
        <f t="shared" ref="G1651:G1655" si="2125">C1651+D1651+F1651+E1651</f>
        <v>0</v>
      </c>
      <c r="H1651" s="199">
        <v>4717</v>
      </c>
      <c r="I1651" s="199">
        <v>1147</v>
      </c>
      <c r="J1651" s="200">
        <f t="shared" si="2118"/>
        <v>5864</v>
      </c>
      <c r="K1651" s="201">
        <f t="shared" si="2119"/>
        <v>5864</v>
      </c>
      <c r="L1651" s="276">
        <v>461</v>
      </c>
      <c r="M1651" s="249">
        <v>0.44791666666666669</v>
      </c>
      <c r="N1651" s="235">
        <v>242287</v>
      </c>
      <c r="O1651" s="235">
        <v>119067</v>
      </c>
      <c r="P1651" s="235">
        <v>22363</v>
      </c>
      <c r="Q1651" s="235"/>
      <c r="R1651" s="235">
        <v>47296</v>
      </c>
      <c r="S1651" s="236">
        <v>4068.5</v>
      </c>
      <c r="T1651" s="236">
        <v>305.7</v>
      </c>
      <c r="U1651" s="236"/>
      <c r="V1651" s="235">
        <v>364268</v>
      </c>
      <c r="W1651" s="235">
        <v>137617</v>
      </c>
      <c r="X1651" s="235">
        <v>125075</v>
      </c>
      <c r="Y1651" s="235">
        <v>92778</v>
      </c>
      <c r="Z1651" s="235">
        <v>239712</v>
      </c>
    </row>
    <row r="1652" spans="1:26" ht="18" customHeight="1" x14ac:dyDescent="0.2">
      <c r="A1652" s="279">
        <f t="shared" si="2099"/>
        <v>44503</v>
      </c>
      <c r="B1652" s="280" t="s">
        <v>193</v>
      </c>
      <c r="C1652" s="48">
        <f t="shared" si="2123"/>
        <v>0</v>
      </c>
      <c r="D1652" s="84">
        <f t="shared" si="2013"/>
        <v>0</v>
      </c>
      <c r="E1652" s="45">
        <f t="shared" si="2089"/>
        <v>0</v>
      </c>
      <c r="F1652" s="45">
        <f t="shared" si="2124"/>
        <v>0</v>
      </c>
      <c r="G1652" s="79">
        <f t="shared" si="2125"/>
        <v>0</v>
      </c>
      <c r="H1652" s="199">
        <v>5070</v>
      </c>
      <c r="I1652" s="199">
        <v>1160</v>
      </c>
      <c r="J1652" s="200">
        <f t="shared" si="2118"/>
        <v>6230</v>
      </c>
      <c r="K1652" s="201">
        <f t="shared" si="2119"/>
        <v>6230</v>
      </c>
      <c r="L1652" s="276">
        <v>496</v>
      </c>
      <c r="M1652" s="249">
        <v>0.44791666666666669</v>
      </c>
      <c r="N1652" s="153">
        <v>242287</v>
      </c>
      <c r="O1652" s="153">
        <v>119067</v>
      </c>
      <c r="P1652" s="153">
        <v>22363</v>
      </c>
      <c r="Q1652" s="153"/>
      <c r="R1652" s="153">
        <v>47296</v>
      </c>
      <c r="S1652" s="154">
        <v>4068.5</v>
      </c>
      <c r="T1652" s="154">
        <v>305.7</v>
      </c>
      <c r="U1652" s="154"/>
      <c r="V1652" s="153">
        <v>364268</v>
      </c>
      <c r="W1652" s="153">
        <v>137617</v>
      </c>
      <c r="X1652" s="153">
        <v>125075</v>
      </c>
      <c r="Y1652" s="153">
        <v>92778</v>
      </c>
      <c r="Z1652" s="153">
        <v>239712</v>
      </c>
    </row>
    <row r="1653" spans="1:26" ht="18" customHeight="1" x14ac:dyDescent="0.2">
      <c r="A1653" s="279">
        <f t="shared" si="2099"/>
        <v>44504</v>
      </c>
      <c r="B1653" s="280" t="s">
        <v>194</v>
      </c>
      <c r="C1653" s="48">
        <f t="shared" si="2123"/>
        <v>0</v>
      </c>
      <c r="D1653" s="84">
        <f t="shared" si="2013"/>
        <v>0</v>
      </c>
      <c r="E1653" s="45">
        <f t="shared" si="2089"/>
        <v>0</v>
      </c>
      <c r="F1653" s="45">
        <f t="shared" si="2124"/>
        <v>0</v>
      </c>
      <c r="G1653" s="79">
        <f t="shared" si="2125"/>
        <v>0</v>
      </c>
      <c r="H1653" s="199">
        <v>4652</v>
      </c>
      <c r="I1653" s="199">
        <v>1208</v>
      </c>
      <c r="J1653" s="200">
        <f t="shared" si="2118"/>
        <v>5860</v>
      </c>
      <c r="K1653" s="201">
        <f t="shared" si="2119"/>
        <v>5860</v>
      </c>
      <c r="L1653" s="276">
        <v>440</v>
      </c>
      <c r="M1653" s="249">
        <v>0.39583333333333331</v>
      </c>
      <c r="N1653" s="153">
        <v>242287</v>
      </c>
      <c r="O1653" s="153">
        <v>119067</v>
      </c>
      <c r="P1653" s="153">
        <v>22363</v>
      </c>
      <c r="Q1653" s="153"/>
      <c r="R1653" s="153">
        <v>47296</v>
      </c>
      <c r="S1653" s="154">
        <v>4068.5</v>
      </c>
      <c r="T1653" s="154">
        <v>305.7</v>
      </c>
      <c r="U1653" s="154"/>
      <c r="V1653" s="153">
        <v>364268</v>
      </c>
      <c r="W1653" s="153">
        <v>137617</v>
      </c>
      <c r="X1653" s="153">
        <v>125075</v>
      </c>
      <c r="Y1653" s="153">
        <v>92778</v>
      </c>
      <c r="Z1653" s="153">
        <v>239712</v>
      </c>
    </row>
    <row r="1654" spans="1:26" ht="18" customHeight="1" x14ac:dyDescent="0.2">
      <c r="A1654" s="279">
        <f t="shared" si="2099"/>
        <v>44505</v>
      </c>
      <c r="B1654" s="278" t="s">
        <v>189</v>
      </c>
      <c r="C1654" s="48">
        <f>(V1655-V1654)*1+(W1655-W1654)*32+(X1655-X1654)*12+(Y1655-Y1654)*6</f>
        <v>0</v>
      </c>
      <c r="D1654" s="84">
        <f t="shared" si="2013"/>
        <v>0</v>
      </c>
      <c r="E1654" s="45">
        <f t="shared" si="2089"/>
        <v>0</v>
      </c>
      <c r="F1654" s="45">
        <f>(Z1655-Z1654)*1</f>
        <v>0</v>
      </c>
      <c r="G1654" s="79">
        <f t="shared" si="2125"/>
        <v>0</v>
      </c>
      <c r="H1654" s="199">
        <v>4632</v>
      </c>
      <c r="I1654" s="199">
        <v>1159</v>
      </c>
      <c r="J1654" s="200">
        <f t="shared" si="2118"/>
        <v>5791</v>
      </c>
      <c r="K1654" s="201">
        <f t="shared" si="2119"/>
        <v>5791</v>
      </c>
      <c r="L1654" s="276">
        <v>484</v>
      </c>
      <c r="M1654" s="249">
        <v>0.44791666666666669</v>
      </c>
      <c r="N1654" s="153">
        <v>242287</v>
      </c>
      <c r="O1654" s="153">
        <v>119067</v>
      </c>
      <c r="P1654" s="153">
        <v>22363</v>
      </c>
      <c r="Q1654" s="153"/>
      <c r="R1654" s="153">
        <v>47296</v>
      </c>
      <c r="S1654" s="154">
        <v>4068.5</v>
      </c>
      <c r="T1654" s="154">
        <v>305.7</v>
      </c>
      <c r="U1654" s="154"/>
      <c r="V1654" s="153">
        <v>364268</v>
      </c>
      <c r="W1654" s="153">
        <v>137617</v>
      </c>
      <c r="X1654" s="153">
        <v>125075</v>
      </c>
      <c r="Y1654" s="153">
        <v>92778</v>
      </c>
      <c r="Z1654" s="153">
        <v>239712</v>
      </c>
    </row>
    <row r="1655" spans="1:26" ht="18" customHeight="1" x14ac:dyDescent="0.2">
      <c r="A1655" s="279">
        <f>A1654+1</f>
        <v>44506</v>
      </c>
      <c r="B1655" s="279" t="s">
        <v>195</v>
      </c>
      <c r="C1655" s="48">
        <f t="shared" si="2123"/>
        <v>0</v>
      </c>
      <c r="D1655" s="84">
        <f t="shared" si="2013"/>
        <v>0</v>
      </c>
      <c r="E1655" s="45">
        <f t="shared" si="2089"/>
        <v>0</v>
      </c>
      <c r="F1655" s="45">
        <f t="shared" si="2124"/>
        <v>0</v>
      </c>
      <c r="G1655" s="79">
        <f t="shared" si="2125"/>
        <v>0</v>
      </c>
      <c r="H1655" s="199">
        <v>0</v>
      </c>
      <c r="I1655" s="199">
        <f>1613+965</f>
        <v>2578</v>
      </c>
      <c r="J1655" s="200">
        <f t="shared" ref="J1655:J1679" si="2126">H1655+I1655</f>
        <v>2578</v>
      </c>
      <c r="K1655" s="201">
        <f t="shared" ref="K1655:K1679" si="2127">J1655-G1655</f>
        <v>2578</v>
      </c>
      <c r="L1655" s="276">
        <v>115</v>
      </c>
      <c r="M1655" s="249">
        <v>0.94791666666666663</v>
      </c>
      <c r="N1655" s="153">
        <v>242287</v>
      </c>
      <c r="O1655" s="153">
        <v>119067</v>
      </c>
      <c r="P1655" s="153">
        <v>22363</v>
      </c>
      <c r="Q1655" s="153"/>
      <c r="R1655" s="153">
        <v>47296</v>
      </c>
      <c r="S1655" s="154">
        <v>4068.5</v>
      </c>
      <c r="T1655" s="154">
        <v>305.7</v>
      </c>
      <c r="U1655" s="154"/>
      <c r="V1655" s="153">
        <v>364268</v>
      </c>
      <c r="W1655" s="153">
        <v>137617</v>
      </c>
      <c r="X1655" s="153">
        <v>125075</v>
      </c>
      <c r="Y1655" s="153">
        <v>92778</v>
      </c>
      <c r="Z1655" s="153">
        <v>239712</v>
      </c>
    </row>
    <row r="1656" spans="1:26" ht="18" customHeight="1" x14ac:dyDescent="0.2">
      <c r="A1656" s="279">
        <f t="shared" si="2099"/>
        <v>44507</v>
      </c>
      <c r="B1656" s="278" t="s">
        <v>190</v>
      </c>
      <c r="C1656" s="48">
        <f t="shared" ref="C1656" si="2128">(V1657-V1656)*1+(W1657-W1656)*32+(X1657-X1656)*12+(Y1657-Y1656)*6</f>
        <v>8974</v>
      </c>
      <c r="D1656" s="84">
        <f t="shared" si="2013"/>
        <v>11439</v>
      </c>
      <c r="E1656" s="45">
        <f t="shared" si="2089"/>
        <v>6843.9999999999854</v>
      </c>
      <c r="F1656" s="45">
        <f t="shared" ref="F1656" si="2129">(Z1657-Z1656)*1</f>
        <v>381</v>
      </c>
      <c r="G1656" s="79">
        <f t="shared" ref="G1656" si="2130">C1656+D1656+F1656+E1656</f>
        <v>27637.999999999985</v>
      </c>
      <c r="H1656" s="199">
        <v>0</v>
      </c>
      <c r="I1656" s="199">
        <v>2919</v>
      </c>
      <c r="J1656" s="200">
        <f t="shared" si="2126"/>
        <v>2919</v>
      </c>
      <c r="K1656" s="201">
        <f t="shared" si="2127"/>
        <v>-24718.999999999985</v>
      </c>
      <c r="L1656" s="276">
        <v>160</v>
      </c>
      <c r="M1656" s="249">
        <v>0.75</v>
      </c>
      <c r="N1656" s="153">
        <v>242287</v>
      </c>
      <c r="O1656" s="153">
        <v>119067</v>
      </c>
      <c r="P1656" s="153">
        <v>22363</v>
      </c>
      <c r="Q1656" s="153"/>
      <c r="R1656" s="153">
        <v>47296</v>
      </c>
      <c r="S1656" s="154">
        <v>4068.5</v>
      </c>
      <c r="T1656" s="154">
        <v>305.7</v>
      </c>
      <c r="U1656" s="154"/>
      <c r="V1656" s="153">
        <v>364268</v>
      </c>
      <c r="W1656" s="153">
        <v>137617</v>
      </c>
      <c r="X1656" s="153">
        <v>125075</v>
      </c>
      <c r="Y1656" s="153">
        <v>92778</v>
      </c>
      <c r="Z1656" s="153">
        <v>239712</v>
      </c>
    </row>
    <row r="1657" spans="1:26" ht="18" customHeight="1" x14ac:dyDescent="0.2">
      <c r="A1657" s="279">
        <f t="shared" si="2099"/>
        <v>44508</v>
      </c>
      <c r="B1657" s="280" t="s">
        <v>191</v>
      </c>
      <c r="C1657" s="48">
        <f t="shared" ref="C1657" si="2131">(V1658-V1657)*1+(W1658-W1657)*32+(X1658-X1657)*12+(Y1658-Y1657)*6</f>
        <v>2003</v>
      </c>
      <c r="D1657" s="84">
        <f t="shared" si="2013"/>
        <v>1745</v>
      </c>
      <c r="E1657" s="45">
        <f t="shared" si="2089"/>
        <v>1528.0000000000018</v>
      </c>
      <c r="F1657" s="45">
        <f t="shared" ref="F1657" si="2132">(Z1658-Z1657)*1</f>
        <v>72</v>
      </c>
      <c r="G1657" s="79">
        <f t="shared" ref="G1657" si="2133">C1657+D1657+F1657+E1657</f>
        <v>5348.0000000000018</v>
      </c>
      <c r="H1657" s="199">
        <v>4747</v>
      </c>
      <c r="I1657" s="199">
        <v>1156</v>
      </c>
      <c r="J1657" s="200">
        <f t="shared" si="2126"/>
        <v>5903</v>
      </c>
      <c r="K1657" s="201">
        <f t="shared" si="2127"/>
        <v>554.99999999999818</v>
      </c>
      <c r="L1657" s="276">
        <v>431</v>
      </c>
      <c r="M1657" s="249">
        <v>0.60416666666666663</v>
      </c>
      <c r="N1657" s="235">
        <v>243195</v>
      </c>
      <c r="O1657" s="235">
        <v>119421</v>
      </c>
      <c r="P1657" s="235">
        <v>22885</v>
      </c>
      <c r="Q1657" s="235"/>
      <c r="R1657" s="235">
        <v>47295</v>
      </c>
      <c r="S1657" s="236">
        <v>4146.7</v>
      </c>
      <c r="T1657" s="236">
        <v>320.39999999999998</v>
      </c>
      <c r="U1657" s="236"/>
      <c r="V1657" s="235">
        <v>365286</v>
      </c>
      <c r="W1657" s="235">
        <v>137773</v>
      </c>
      <c r="X1657" s="235">
        <v>125322</v>
      </c>
      <c r="Y1657" s="235">
        <v>92778</v>
      </c>
      <c r="Z1657" s="235">
        <v>240093</v>
      </c>
    </row>
    <row r="1658" spans="1:26" ht="18" customHeight="1" x14ac:dyDescent="0.2">
      <c r="A1658" s="279">
        <f t="shared" si="2099"/>
        <v>44509</v>
      </c>
      <c r="B1658" s="280" t="s">
        <v>192</v>
      </c>
      <c r="C1658" s="48">
        <f t="shared" ref="C1658" si="2134">(V1659-V1658)*1+(W1659-W1658)*32+(X1659-X1658)*12+(Y1659-Y1658)*6</f>
        <v>1954</v>
      </c>
      <c r="D1658" s="84">
        <f t="shared" si="2013"/>
        <v>1768</v>
      </c>
      <c r="E1658" s="45">
        <f t="shared" si="2089"/>
        <v>1611.9999999999982</v>
      </c>
      <c r="F1658" s="45">
        <f t="shared" ref="F1658" si="2135">(Z1659-Z1658)*1</f>
        <v>81</v>
      </c>
      <c r="G1658" s="79">
        <f t="shared" ref="G1658" si="2136">C1658+D1658+F1658+E1658</f>
        <v>5414.9999999999982</v>
      </c>
      <c r="H1658" s="199">
        <v>4608</v>
      </c>
      <c r="I1658" s="199">
        <v>1143</v>
      </c>
      <c r="J1658" s="200">
        <f t="shared" si="2126"/>
        <v>5751</v>
      </c>
      <c r="K1658" s="201">
        <f t="shared" si="2127"/>
        <v>336.00000000000182</v>
      </c>
      <c r="L1658" s="276">
        <v>439</v>
      </c>
      <c r="M1658" s="249">
        <v>0.61458333333333337</v>
      </c>
      <c r="N1658" s="235">
        <v>243347</v>
      </c>
      <c r="O1658" s="235">
        <v>119480</v>
      </c>
      <c r="P1658" s="235">
        <v>22951</v>
      </c>
      <c r="Q1658" s="235"/>
      <c r="R1658" s="235">
        <v>47296</v>
      </c>
      <c r="S1658" s="236">
        <v>4165.7</v>
      </c>
      <c r="T1658" s="236">
        <v>320.60000000000002</v>
      </c>
      <c r="U1658" s="236"/>
      <c r="V1658" s="235">
        <v>365469</v>
      </c>
      <c r="W1658" s="235">
        <v>137801</v>
      </c>
      <c r="X1658" s="235">
        <v>125399</v>
      </c>
      <c r="Y1658" s="235">
        <v>92778</v>
      </c>
      <c r="Z1658" s="235">
        <v>240165</v>
      </c>
    </row>
    <row r="1659" spans="1:26" ht="18" customHeight="1" x14ac:dyDescent="0.2">
      <c r="A1659" s="279">
        <f t="shared" si="2099"/>
        <v>44510</v>
      </c>
      <c r="B1659" s="280" t="s">
        <v>193</v>
      </c>
      <c r="C1659" s="48">
        <f t="shared" ref="C1659" si="2137">(V1660-V1659)*1+(W1660-W1659)*32+(X1660-X1659)*12+(Y1660-Y1659)*6</f>
        <v>1879</v>
      </c>
      <c r="D1659" s="84">
        <f t="shared" si="2013"/>
        <v>1776</v>
      </c>
      <c r="E1659" s="45">
        <f t="shared" si="2089"/>
        <v>1656.0000000000446</v>
      </c>
      <c r="F1659" s="45">
        <f t="shared" ref="F1659" si="2138">(Z1660-Z1659)*1</f>
        <v>102</v>
      </c>
      <c r="G1659" s="79">
        <f t="shared" ref="G1659" si="2139">C1659+D1659+F1659+E1659</f>
        <v>5413.0000000000446</v>
      </c>
      <c r="H1659" s="199">
        <v>4727</v>
      </c>
      <c r="I1659" s="199">
        <v>1165</v>
      </c>
      <c r="J1659" s="200">
        <f t="shared" si="2126"/>
        <v>5892</v>
      </c>
      <c r="K1659" s="201">
        <f t="shared" si="2127"/>
        <v>478.99999999995543</v>
      </c>
      <c r="L1659" s="276">
        <v>465</v>
      </c>
      <c r="M1659" s="249">
        <v>0.60416666666666663</v>
      </c>
      <c r="N1659" s="235">
        <v>243497</v>
      </c>
      <c r="O1659" s="235">
        <v>119538</v>
      </c>
      <c r="P1659" s="235">
        <v>23022</v>
      </c>
      <c r="Q1659" s="235"/>
      <c r="R1659" s="235">
        <v>47296</v>
      </c>
      <c r="S1659" s="236">
        <v>4185.7</v>
      </c>
      <c r="T1659" s="236">
        <v>320.89999999999998</v>
      </c>
      <c r="U1659" s="236"/>
      <c r="V1659" s="235">
        <v>365643</v>
      </c>
      <c r="W1659" s="235">
        <v>137836</v>
      </c>
      <c r="X1659" s="235">
        <v>125454</v>
      </c>
      <c r="Y1659" s="235">
        <v>92778</v>
      </c>
      <c r="Z1659" s="235">
        <v>240246</v>
      </c>
    </row>
    <row r="1660" spans="1:26" ht="18" customHeight="1" x14ac:dyDescent="0.2">
      <c r="A1660" s="279">
        <f t="shared" si="2099"/>
        <v>44511</v>
      </c>
      <c r="B1660" s="280" t="s">
        <v>194</v>
      </c>
      <c r="C1660" s="48">
        <f t="shared" ref="C1660" si="2140">(V1661-V1660)*1+(W1661-W1660)*32+(X1661-X1660)*12+(Y1661-Y1660)*6</f>
        <v>2159</v>
      </c>
      <c r="D1660" s="84">
        <f t="shared" si="2013"/>
        <v>1784</v>
      </c>
      <c r="E1660" s="45">
        <f t="shared" si="2089"/>
        <v>1507.9999999999427</v>
      </c>
      <c r="F1660" s="45">
        <f t="shared" ref="F1660" si="2141">(Z1661-Z1660)*1</f>
        <v>87</v>
      </c>
      <c r="G1660" s="79">
        <f t="shared" ref="G1660" si="2142">C1660+D1660+F1660+E1660</f>
        <v>5537.9999999999427</v>
      </c>
      <c r="H1660" s="199">
        <v>4820</v>
      </c>
      <c r="I1660" s="199">
        <v>1193</v>
      </c>
      <c r="J1660" s="200">
        <f t="shared" si="2126"/>
        <v>6013</v>
      </c>
      <c r="K1660" s="201">
        <f t="shared" si="2127"/>
        <v>475.0000000000573</v>
      </c>
      <c r="L1660" s="276">
        <v>483</v>
      </c>
      <c r="M1660" s="249">
        <v>0.40625</v>
      </c>
      <c r="N1660" s="235">
        <v>243647</v>
      </c>
      <c r="O1660" s="235">
        <v>119596</v>
      </c>
      <c r="P1660" s="235">
        <v>23094</v>
      </c>
      <c r="Q1660" s="235"/>
      <c r="R1660" s="235">
        <v>47296</v>
      </c>
      <c r="S1660" s="236">
        <v>4206.1000000000004</v>
      </c>
      <c r="T1660" s="236">
        <v>321.5</v>
      </c>
      <c r="U1660" s="236"/>
      <c r="V1660" s="235">
        <v>365810</v>
      </c>
      <c r="W1660" s="235">
        <v>137867</v>
      </c>
      <c r="X1660" s="235">
        <v>125514</v>
      </c>
      <c r="Y1660" s="235">
        <v>92778</v>
      </c>
      <c r="Z1660" s="235">
        <v>240348</v>
      </c>
    </row>
    <row r="1661" spans="1:26" ht="18" customHeight="1" x14ac:dyDescent="0.2">
      <c r="A1661" s="279">
        <f t="shared" si="2099"/>
        <v>44512</v>
      </c>
      <c r="B1661" s="278" t="s">
        <v>189</v>
      </c>
      <c r="C1661" s="48">
        <f t="shared" ref="C1661:C1663" si="2143">(V1662-V1661)*1+(W1662-W1661)*32+(X1662-X1661)*12+(Y1662-Y1661)*6</f>
        <v>0</v>
      </c>
      <c r="D1661" s="84">
        <f t="shared" ref="D1661:D1709" si="2144">(N1662-N1661)*8+(P1662-P1661)*8+(R1662-R1661)*1</f>
        <v>0</v>
      </c>
      <c r="E1661" s="45">
        <f t="shared" si="2089"/>
        <v>0</v>
      </c>
      <c r="F1661" s="45">
        <f t="shared" ref="F1661:F1663" si="2145">(Z1662-Z1661)*1</f>
        <v>0</v>
      </c>
      <c r="G1661" s="79">
        <f t="shared" ref="G1661:G1663" si="2146">C1661+D1661+F1661+E1661</f>
        <v>0</v>
      </c>
      <c r="H1661" s="199">
        <v>43.28</v>
      </c>
      <c r="I1661" s="199">
        <v>1158</v>
      </c>
      <c r="J1661" s="200">
        <f t="shared" si="2126"/>
        <v>1201.28</v>
      </c>
      <c r="K1661" s="201">
        <f t="shared" si="2127"/>
        <v>1201.28</v>
      </c>
      <c r="L1661" s="276">
        <v>430</v>
      </c>
      <c r="M1661" s="249">
        <v>0.4375</v>
      </c>
      <c r="N1661" s="235">
        <v>243797</v>
      </c>
      <c r="O1661" s="235">
        <v>119654</v>
      </c>
      <c r="P1661" s="235">
        <v>23167</v>
      </c>
      <c r="Q1661" s="235"/>
      <c r="R1661" s="235">
        <v>47296</v>
      </c>
      <c r="S1661" s="236">
        <v>4224.8999999999996</v>
      </c>
      <c r="T1661" s="236">
        <v>321.60000000000002</v>
      </c>
      <c r="U1661" s="236"/>
      <c r="V1661" s="235">
        <v>365901</v>
      </c>
      <c r="W1661" s="235">
        <v>137902</v>
      </c>
      <c r="X1661" s="235">
        <v>125593</v>
      </c>
      <c r="Y1661" s="235">
        <v>92778</v>
      </c>
      <c r="Z1661" s="235">
        <v>240435</v>
      </c>
    </row>
    <row r="1662" spans="1:26" ht="18" customHeight="1" x14ac:dyDescent="0.2">
      <c r="A1662" s="279">
        <f t="shared" si="2099"/>
        <v>44513</v>
      </c>
      <c r="B1662" s="279" t="s">
        <v>195</v>
      </c>
      <c r="C1662" s="48">
        <f t="shared" si="2143"/>
        <v>0</v>
      </c>
      <c r="D1662" s="84">
        <f t="shared" si="2144"/>
        <v>0</v>
      </c>
      <c r="E1662" s="45">
        <f t="shared" si="2089"/>
        <v>0</v>
      </c>
      <c r="F1662" s="45">
        <f t="shared" si="2145"/>
        <v>0</v>
      </c>
      <c r="G1662" s="79">
        <f t="shared" si="2146"/>
        <v>0</v>
      </c>
      <c r="H1662" s="199">
        <v>0</v>
      </c>
      <c r="I1662" s="199">
        <f>1107+844</f>
        <v>1951</v>
      </c>
      <c r="J1662" s="200">
        <f t="shared" si="2126"/>
        <v>1951</v>
      </c>
      <c r="K1662" s="201">
        <f t="shared" si="2127"/>
        <v>1951</v>
      </c>
      <c r="L1662" s="276">
        <v>109</v>
      </c>
      <c r="M1662" s="249">
        <v>0.15625</v>
      </c>
      <c r="N1662" s="153">
        <v>243797</v>
      </c>
      <c r="O1662" s="153">
        <v>119654</v>
      </c>
      <c r="P1662" s="153">
        <v>23167</v>
      </c>
      <c r="Q1662" s="153"/>
      <c r="R1662" s="153">
        <v>47296</v>
      </c>
      <c r="S1662" s="154">
        <v>4224.8999999999996</v>
      </c>
      <c r="T1662" s="154">
        <v>321.60000000000002</v>
      </c>
      <c r="U1662" s="154"/>
      <c r="V1662" s="153">
        <v>365901</v>
      </c>
      <c r="W1662" s="153">
        <v>137902</v>
      </c>
      <c r="X1662" s="153">
        <v>125593</v>
      </c>
      <c r="Y1662" s="153">
        <v>92778</v>
      </c>
      <c r="Z1662" s="153">
        <v>240435</v>
      </c>
    </row>
    <row r="1663" spans="1:26" ht="18" customHeight="1" x14ac:dyDescent="0.2">
      <c r="A1663" s="279">
        <f t="shared" si="2099"/>
        <v>44514</v>
      </c>
      <c r="B1663" s="278" t="s">
        <v>190</v>
      </c>
      <c r="C1663" s="48">
        <f t="shared" si="2143"/>
        <v>2754</v>
      </c>
      <c r="D1663" s="84">
        <f t="shared" si="2144"/>
        <v>4024</v>
      </c>
      <c r="E1663" s="45">
        <f t="shared" si="2089"/>
        <v>1728.0000000000132</v>
      </c>
      <c r="F1663" s="45">
        <f t="shared" si="2145"/>
        <v>302</v>
      </c>
      <c r="G1663" s="79">
        <f t="shared" si="2146"/>
        <v>8808.0000000000127</v>
      </c>
      <c r="H1663" s="199">
        <v>0</v>
      </c>
      <c r="I1663" s="199">
        <v>2030</v>
      </c>
      <c r="J1663" s="200">
        <f t="shared" si="2126"/>
        <v>2030</v>
      </c>
      <c r="K1663" s="201">
        <f t="shared" si="2127"/>
        <v>-6778.0000000000127</v>
      </c>
      <c r="L1663" s="276">
        <v>0</v>
      </c>
      <c r="M1663" s="249">
        <v>0</v>
      </c>
      <c r="N1663" s="153">
        <v>243797</v>
      </c>
      <c r="O1663" s="153">
        <v>119654</v>
      </c>
      <c r="P1663" s="153">
        <v>23167</v>
      </c>
      <c r="Q1663" s="153"/>
      <c r="R1663" s="153">
        <v>47296</v>
      </c>
      <c r="S1663" s="154">
        <v>4224.8999999999996</v>
      </c>
      <c r="T1663" s="154">
        <v>321.60000000000002</v>
      </c>
      <c r="U1663" s="154"/>
      <c r="V1663" s="153">
        <v>365901</v>
      </c>
      <c r="W1663" s="153">
        <v>137902</v>
      </c>
      <c r="X1663" s="153">
        <v>125593</v>
      </c>
      <c r="Y1663" s="153">
        <v>92778</v>
      </c>
      <c r="Z1663" s="153">
        <v>240435</v>
      </c>
    </row>
    <row r="1664" spans="1:26" ht="18" customHeight="1" x14ac:dyDescent="0.2">
      <c r="A1664" s="279">
        <f t="shared" si="2099"/>
        <v>44515</v>
      </c>
      <c r="B1664" s="280" t="s">
        <v>191</v>
      </c>
      <c r="C1664" s="48">
        <f t="shared" ref="C1664" si="2147">(V1665-V1664)*1+(W1665-W1664)*32+(X1665-X1664)*12+(Y1665-Y1664)*6</f>
        <v>1977</v>
      </c>
      <c r="D1664" s="84">
        <f t="shared" si="2144"/>
        <v>1864</v>
      </c>
      <c r="E1664" s="45">
        <f t="shared" si="2089"/>
        <v>1564.0000000000146</v>
      </c>
      <c r="F1664" s="45">
        <f t="shared" ref="F1664" si="2148">(Z1665-Z1664)*1</f>
        <v>89</v>
      </c>
      <c r="G1664" s="79">
        <f t="shared" ref="G1664" si="2149">C1664+D1664+F1664+E1664</f>
        <v>5494.0000000000146</v>
      </c>
      <c r="H1664" s="199">
        <v>4721</v>
      </c>
      <c r="I1664" s="199">
        <v>1052</v>
      </c>
      <c r="J1664" s="200">
        <f t="shared" si="2126"/>
        <v>5773</v>
      </c>
      <c r="K1664" s="201">
        <f t="shared" si="2127"/>
        <v>278.99999999998545</v>
      </c>
      <c r="L1664" s="276">
        <v>455</v>
      </c>
      <c r="M1664" s="249">
        <v>0.46875</v>
      </c>
      <c r="N1664" s="235">
        <v>244137</v>
      </c>
      <c r="O1664" s="235">
        <v>119782</v>
      </c>
      <c r="P1664" s="235">
        <v>23330</v>
      </c>
      <c r="Q1664" s="235"/>
      <c r="R1664" s="235">
        <v>47296</v>
      </c>
      <c r="S1664" s="236">
        <v>4246.2</v>
      </c>
      <c r="T1664" s="236">
        <v>322.2</v>
      </c>
      <c r="U1664" s="236"/>
      <c r="V1664" s="235">
        <v>366419</v>
      </c>
      <c r="W1664" s="235">
        <v>137949</v>
      </c>
      <c r="X1664" s="235">
        <v>125654</v>
      </c>
      <c r="Y1664" s="235">
        <v>92778</v>
      </c>
      <c r="Z1664" s="235">
        <v>240737</v>
      </c>
    </row>
    <row r="1665" spans="1:26" ht="18" customHeight="1" x14ac:dyDescent="0.2">
      <c r="A1665" s="279">
        <f t="shared" si="2099"/>
        <v>44516</v>
      </c>
      <c r="B1665" s="280" t="s">
        <v>192</v>
      </c>
      <c r="C1665" s="48">
        <f t="shared" ref="C1665" si="2150">(V1666-V1665)*1+(W1666-W1665)*32+(X1666-X1665)*12+(Y1666-Y1665)*6</f>
        <v>1949</v>
      </c>
      <c r="D1665" s="84">
        <f t="shared" si="2144"/>
        <v>1976</v>
      </c>
      <c r="E1665" s="45">
        <f t="shared" si="2089"/>
        <v>1779.9999999999864</v>
      </c>
      <c r="F1665" s="45">
        <f t="shared" ref="F1665" si="2151">(Z1666-Z1665)*1</f>
        <v>58</v>
      </c>
      <c r="G1665" s="79">
        <f t="shared" ref="G1665" si="2152">C1665+D1665+F1665+E1665</f>
        <v>5762.9999999999864</v>
      </c>
      <c r="H1665" s="199">
        <v>4844</v>
      </c>
      <c r="I1665" s="199">
        <v>1231</v>
      </c>
      <c r="J1665" s="200">
        <f t="shared" si="2126"/>
        <v>6075</v>
      </c>
      <c r="K1665" s="201">
        <f t="shared" si="2127"/>
        <v>312.00000000001364</v>
      </c>
      <c r="L1665" s="276">
        <v>511</v>
      </c>
      <c r="M1665" s="249">
        <v>0.40625</v>
      </c>
      <c r="N1665" s="235">
        <v>244297</v>
      </c>
      <c r="O1665" s="235">
        <v>119844</v>
      </c>
      <c r="P1665" s="235">
        <v>23403</v>
      </c>
      <c r="Q1665" s="235"/>
      <c r="R1665" s="235">
        <v>47296</v>
      </c>
      <c r="S1665" s="236">
        <v>4265.5</v>
      </c>
      <c r="T1665" s="236">
        <v>322.7</v>
      </c>
      <c r="U1665" s="236"/>
      <c r="V1665" s="235">
        <v>366600</v>
      </c>
      <c r="W1665" s="235">
        <v>137980</v>
      </c>
      <c r="X1665" s="235">
        <v>125721</v>
      </c>
      <c r="Y1665" s="235">
        <v>92778</v>
      </c>
      <c r="Z1665" s="235">
        <v>240826</v>
      </c>
    </row>
    <row r="1666" spans="1:26" ht="18" customHeight="1" x14ac:dyDescent="0.2">
      <c r="A1666" s="279">
        <f t="shared" si="2099"/>
        <v>44517</v>
      </c>
      <c r="B1666" s="280" t="s">
        <v>193</v>
      </c>
      <c r="C1666" s="48">
        <f t="shared" ref="C1666" si="2153">(V1667-V1666)*1+(W1667-W1666)*32+(X1667-X1666)*12+(Y1667-Y1666)*6</f>
        <v>2090</v>
      </c>
      <c r="D1666" s="84">
        <f t="shared" si="2144"/>
        <v>2088</v>
      </c>
      <c r="E1666" s="45">
        <f t="shared" ref="E1666:E1697" si="2154">(S1667-S1666)*80+(T1667-T1666)*40</f>
        <v>1488.0000000000132</v>
      </c>
      <c r="F1666" s="45">
        <f t="shared" ref="F1666" si="2155">(Z1667-Z1666)*1</f>
        <v>50</v>
      </c>
      <c r="G1666" s="79">
        <f t="shared" ref="G1666" si="2156">C1666+D1666+F1666+E1666</f>
        <v>5716.0000000000127</v>
      </c>
      <c r="H1666" s="199">
        <v>4901</v>
      </c>
      <c r="I1666" s="199">
        <v>1273</v>
      </c>
      <c r="J1666" s="200">
        <f t="shared" si="2126"/>
        <v>6174</v>
      </c>
      <c r="K1666" s="201">
        <f t="shared" si="2127"/>
        <v>457.99999999998727</v>
      </c>
      <c r="L1666" s="276">
        <v>470</v>
      </c>
      <c r="M1666" s="249">
        <v>0.45833333333333331</v>
      </c>
      <c r="N1666" s="235">
        <v>244457</v>
      </c>
      <c r="O1666" s="235">
        <v>119909</v>
      </c>
      <c r="P1666" s="235">
        <v>23490</v>
      </c>
      <c r="Q1666" s="235"/>
      <c r="R1666" s="235">
        <v>47296</v>
      </c>
      <c r="S1666" s="236">
        <v>4285.2</v>
      </c>
      <c r="T1666" s="236">
        <v>327.8</v>
      </c>
      <c r="U1666" s="236"/>
      <c r="V1666" s="235">
        <v>366785</v>
      </c>
      <c r="W1666" s="235">
        <v>138013</v>
      </c>
      <c r="X1666" s="235">
        <v>125780</v>
      </c>
      <c r="Y1666" s="235">
        <v>92778</v>
      </c>
      <c r="Z1666" s="235">
        <v>240884</v>
      </c>
    </row>
    <row r="1667" spans="1:26" ht="18" customHeight="1" x14ac:dyDescent="0.2">
      <c r="A1667" s="279">
        <f t="shared" si="2099"/>
        <v>44518</v>
      </c>
      <c r="B1667" s="280" t="s">
        <v>194</v>
      </c>
      <c r="C1667" s="48">
        <f t="shared" ref="C1667" si="2157">(V1668-V1667)*1+(W1668-W1667)*32+(X1668-X1667)*12+(Y1668-Y1667)*6</f>
        <v>2065</v>
      </c>
      <c r="D1667" s="84">
        <f t="shared" si="2144"/>
        <v>1984</v>
      </c>
      <c r="E1667" s="45">
        <f t="shared" si="2154"/>
        <v>1552.0000000000164</v>
      </c>
      <c r="F1667" s="45">
        <f t="shared" ref="F1667" si="2158">(Z1668-Z1667)*1</f>
        <v>75</v>
      </c>
      <c r="G1667" s="79">
        <f t="shared" ref="G1667" si="2159">C1667+D1667+F1667+E1667</f>
        <v>5676.0000000000164</v>
      </c>
      <c r="H1667" s="199">
        <v>4874</v>
      </c>
      <c r="I1667" s="199">
        <v>1231</v>
      </c>
      <c r="J1667" s="200">
        <f t="shared" si="2126"/>
        <v>6105</v>
      </c>
      <c r="K1667" s="201">
        <f t="shared" si="2127"/>
        <v>428.99999999998363</v>
      </c>
      <c r="L1667" s="276">
        <v>488</v>
      </c>
      <c r="M1667" s="249">
        <v>0.40625</v>
      </c>
      <c r="N1667" s="235">
        <v>244627</v>
      </c>
      <c r="O1667" s="235">
        <v>119915</v>
      </c>
      <c r="P1667" s="235">
        <v>23581</v>
      </c>
      <c r="Q1667" s="235"/>
      <c r="R1667" s="235">
        <v>47296</v>
      </c>
      <c r="S1667" s="236">
        <v>4303.5</v>
      </c>
      <c r="T1667" s="236">
        <v>328.4</v>
      </c>
      <c r="U1667" s="236"/>
      <c r="V1667" s="235">
        <v>366963</v>
      </c>
      <c r="W1667" s="235">
        <v>138048</v>
      </c>
      <c r="X1667" s="235">
        <v>125846</v>
      </c>
      <c r="Y1667" s="235">
        <v>92778</v>
      </c>
      <c r="Z1667" s="235">
        <v>240934</v>
      </c>
    </row>
    <row r="1668" spans="1:26" ht="18" customHeight="1" x14ac:dyDescent="0.2">
      <c r="A1668" s="279">
        <f t="shared" si="2099"/>
        <v>44519</v>
      </c>
      <c r="B1668" s="278" t="s">
        <v>189</v>
      </c>
      <c r="C1668" s="48">
        <f t="shared" ref="C1668:C1670" si="2160">(V1669-V1668)*1+(W1669-W1668)*32+(X1669-X1668)*12+(Y1669-Y1668)*6</f>
        <v>0</v>
      </c>
      <c r="D1668" s="84">
        <f t="shared" si="2144"/>
        <v>0</v>
      </c>
      <c r="E1668" s="45">
        <f t="shared" si="2154"/>
        <v>0</v>
      </c>
      <c r="F1668" s="45">
        <f t="shared" ref="F1668:F1670" si="2161">(Z1669-Z1668)*1</f>
        <v>0</v>
      </c>
      <c r="G1668" s="79">
        <f t="shared" ref="G1668:G1670" si="2162">C1668+D1668+F1668+E1668</f>
        <v>0</v>
      </c>
      <c r="H1668" s="199">
        <v>4641</v>
      </c>
      <c r="I1668" s="199">
        <v>1253</v>
      </c>
      <c r="J1668" s="200">
        <f t="shared" si="2126"/>
        <v>5894</v>
      </c>
      <c r="K1668" s="201">
        <f t="shared" si="2127"/>
        <v>5894</v>
      </c>
      <c r="L1668" s="276">
        <v>442</v>
      </c>
      <c r="M1668" s="249">
        <v>0.42708333333333331</v>
      </c>
      <c r="N1668" s="235">
        <v>244797</v>
      </c>
      <c r="O1668" s="235">
        <v>120040</v>
      </c>
      <c r="P1668" s="235">
        <v>23659</v>
      </c>
      <c r="Q1668" s="235"/>
      <c r="R1668" s="235">
        <v>47296</v>
      </c>
      <c r="S1668" s="236">
        <v>4322.8</v>
      </c>
      <c r="T1668" s="236">
        <v>328.6</v>
      </c>
      <c r="U1668" s="236"/>
      <c r="V1668" s="235">
        <v>367124</v>
      </c>
      <c r="W1668" s="235">
        <v>138082</v>
      </c>
      <c r="X1668" s="235">
        <v>125914</v>
      </c>
      <c r="Y1668" s="235">
        <v>92778</v>
      </c>
      <c r="Z1668" s="235">
        <v>241009</v>
      </c>
    </row>
    <row r="1669" spans="1:26" ht="18" customHeight="1" x14ac:dyDescent="0.2">
      <c r="A1669" s="279">
        <f t="shared" si="2099"/>
        <v>44520</v>
      </c>
      <c r="B1669" s="279" t="s">
        <v>195</v>
      </c>
      <c r="C1669" s="48">
        <f t="shared" si="2160"/>
        <v>0</v>
      </c>
      <c r="D1669" s="84">
        <f t="shared" si="2144"/>
        <v>0</v>
      </c>
      <c r="E1669" s="45">
        <f t="shared" si="2154"/>
        <v>0</v>
      </c>
      <c r="F1669" s="45">
        <f t="shared" si="2161"/>
        <v>0</v>
      </c>
      <c r="G1669" s="79">
        <f t="shared" si="2162"/>
        <v>0</v>
      </c>
      <c r="H1669" s="199">
        <v>0</v>
      </c>
      <c r="I1669" s="199">
        <f>2021+1219</f>
        <v>3240</v>
      </c>
      <c r="J1669" s="200">
        <f t="shared" si="2126"/>
        <v>3240</v>
      </c>
      <c r="K1669" s="201">
        <f t="shared" si="2127"/>
        <v>3240</v>
      </c>
      <c r="L1669" s="276">
        <v>156</v>
      </c>
      <c r="M1669" s="249">
        <v>0.16666666666666666</v>
      </c>
      <c r="N1669" s="153">
        <v>244797</v>
      </c>
      <c r="O1669" s="153">
        <v>120040</v>
      </c>
      <c r="P1669" s="153">
        <v>23659</v>
      </c>
      <c r="Q1669" s="153"/>
      <c r="R1669" s="153">
        <v>47296</v>
      </c>
      <c r="S1669" s="154">
        <v>4322.8</v>
      </c>
      <c r="T1669" s="154">
        <v>328.6</v>
      </c>
      <c r="U1669" s="154"/>
      <c r="V1669" s="153">
        <v>367124</v>
      </c>
      <c r="W1669" s="153">
        <v>138082</v>
      </c>
      <c r="X1669" s="153">
        <v>125914</v>
      </c>
      <c r="Y1669" s="153">
        <v>92778</v>
      </c>
      <c r="Z1669" s="153">
        <v>241009</v>
      </c>
    </row>
    <row r="1670" spans="1:26" ht="18" customHeight="1" x14ac:dyDescent="0.2">
      <c r="A1670" s="279">
        <f t="shared" si="2099"/>
        <v>44521</v>
      </c>
      <c r="B1670" s="278" t="s">
        <v>190</v>
      </c>
      <c r="C1670" s="48">
        <f t="shared" si="2160"/>
        <v>3680</v>
      </c>
      <c r="D1670" s="84">
        <f t="shared" si="2144"/>
        <v>4896</v>
      </c>
      <c r="E1670" s="45">
        <f t="shared" si="2154"/>
        <v>1683.999999999985</v>
      </c>
      <c r="F1670" s="45">
        <f t="shared" si="2161"/>
        <v>216</v>
      </c>
      <c r="G1670" s="79">
        <f t="shared" si="2162"/>
        <v>10475.999999999985</v>
      </c>
      <c r="H1670" s="199">
        <v>0</v>
      </c>
      <c r="I1670" s="199">
        <v>2407</v>
      </c>
      <c r="J1670" s="200">
        <f t="shared" si="2126"/>
        <v>2407</v>
      </c>
      <c r="K1670" s="201">
        <f t="shared" si="2127"/>
        <v>-8068.9999999999854</v>
      </c>
      <c r="L1670" s="276">
        <v>118</v>
      </c>
      <c r="M1670" s="249">
        <v>5.2083333333333336E-2</v>
      </c>
      <c r="N1670" s="153">
        <v>244797</v>
      </c>
      <c r="O1670" s="153">
        <v>120040</v>
      </c>
      <c r="P1670" s="153">
        <v>23659</v>
      </c>
      <c r="Q1670" s="153"/>
      <c r="R1670" s="153">
        <v>47296</v>
      </c>
      <c r="S1670" s="154">
        <v>4322.8</v>
      </c>
      <c r="T1670" s="154">
        <v>328.6</v>
      </c>
      <c r="U1670" s="154"/>
      <c r="V1670" s="153">
        <v>367124</v>
      </c>
      <c r="W1670" s="153">
        <v>138082</v>
      </c>
      <c r="X1670" s="153">
        <v>125914</v>
      </c>
      <c r="Y1670" s="153">
        <v>92778</v>
      </c>
      <c r="Z1670" s="153">
        <v>241009</v>
      </c>
    </row>
    <row r="1671" spans="1:26" ht="18" customHeight="1" x14ac:dyDescent="0.2">
      <c r="A1671" s="279">
        <f t="shared" si="2099"/>
        <v>44522</v>
      </c>
      <c r="B1671" s="280" t="s">
        <v>191</v>
      </c>
      <c r="C1671" s="48">
        <f t="shared" ref="C1671" si="2163">(V1672-V1671)*1+(W1672-W1671)*32+(X1672-X1671)*12+(Y1672-Y1671)*6</f>
        <v>2212</v>
      </c>
      <c r="D1671" s="84">
        <f t="shared" si="2144"/>
        <v>1935</v>
      </c>
      <c r="E1671" s="45">
        <f t="shared" si="2154"/>
        <v>1407.9999999999995</v>
      </c>
      <c r="F1671" s="45">
        <f t="shared" ref="F1671" si="2164">(Z1672-Z1671)*1</f>
        <v>89</v>
      </c>
      <c r="G1671" s="79">
        <f t="shared" ref="G1671" si="2165">C1671+D1671+F1671+E1671</f>
        <v>5644</v>
      </c>
      <c r="H1671" s="199">
        <v>4579</v>
      </c>
      <c r="I1671" s="199">
        <v>949</v>
      </c>
      <c r="J1671" s="200">
        <f t="shared" si="2126"/>
        <v>5528</v>
      </c>
      <c r="K1671" s="201">
        <f t="shared" si="2127"/>
        <v>-116</v>
      </c>
      <c r="L1671" s="276">
        <v>467</v>
      </c>
      <c r="M1671" s="249">
        <v>0.42708333333333331</v>
      </c>
      <c r="N1671" s="235">
        <v>245217</v>
      </c>
      <c r="O1671" s="235">
        <v>120203</v>
      </c>
      <c r="P1671" s="235">
        <v>23851</v>
      </c>
      <c r="Q1671" s="235"/>
      <c r="R1671" s="235">
        <v>47296</v>
      </c>
      <c r="S1671" s="236">
        <v>4343.5</v>
      </c>
      <c r="T1671" s="236">
        <v>329.3</v>
      </c>
      <c r="U1671" s="236"/>
      <c r="V1671" s="235">
        <v>367556</v>
      </c>
      <c r="W1671" s="235">
        <v>138158</v>
      </c>
      <c r="X1671" s="235">
        <v>125982</v>
      </c>
      <c r="Y1671" s="235">
        <v>92778</v>
      </c>
      <c r="Z1671" s="235">
        <v>241225</v>
      </c>
    </row>
    <row r="1672" spans="1:26" ht="18" customHeight="1" x14ac:dyDescent="0.2">
      <c r="A1672" s="279">
        <f t="shared" si="2099"/>
        <v>44523</v>
      </c>
      <c r="B1672" s="280" t="s">
        <v>192</v>
      </c>
      <c r="C1672" s="48">
        <f t="shared" ref="C1672" si="2166">(V1673-V1672)*1+(W1673-W1672)*32+(X1673-X1672)*12+(Y1673-Y1672)*6</f>
        <v>1908</v>
      </c>
      <c r="D1672" s="84">
        <f t="shared" si="2144"/>
        <v>1969</v>
      </c>
      <c r="E1672" s="45">
        <f t="shared" si="2154"/>
        <v>1476.000000000015</v>
      </c>
      <c r="F1672" s="45">
        <f t="shared" ref="F1672" si="2167">(Z1673-Z1672)*1</f>
        <v>103</v>
      </c>
      <c r="G1672" s="79">
        <f t="shared" ref="G1672" si="2168">C1672+D1672+F1672+E1672</f>
        <v>5456.0000000000146</v>
      </c>
      <c r="H1672" s="199">
        <v>4880</v>
      </c>
      <c r="I1672" s="199">
        <v>1238</v>
      </c>
      <c r="J1672" s="200">
        <f t="shared" si="2126"/>
        <v>6118</v>
      </c>
      <c r="K1672" s="201">
        <f t="shared" si="2127"/>
        <v>661.99999999998545</v>
      </c>
      <c r="L1672" s="276">
        <v>472</v>
      </c>
      <c r="M1672" s="249">
        <v>0.38541666666666669</v>
      </c>
      <c r="N1672" s="235">
        <v>245377</v>
      </c>
      <c r="O1672" s="235">
        <v>120262</v>
      </c>
      <c r="P1672" s="235">
        <v>23933</v>
      </c>
      <c r="Q1672" s="235"/>
      <c r="R1672" s="235">
        <v>47295</v>
      </c>
      <c r="S1672" s="236">
        <v>4361</v>
      </c>
      <c r="T1672" s="236">
        <v>329.5</v>
      </c>
      <c r="U1672" s="236"/>
      <c r="V1672" s="235">
        <v>367724</v>
      </c>
      <c r="W1672" s="235">
        <v>138190</v>
      </c>
      <c r="X1672" s="235">
        <v>126067</v>
      </c>
      <c r="Y1672" s="235">
        <v>92778</v>
      </c>
      <c r="Z1672" s="235">
        <v>241314</v>
      </c>
    </row>
    <row r="1673" spans="1:26" ht="18" customHeight="1" x14ac:dyDescent="0.2">
      <c r="A1673" s="279">
        <f t="shared" si="2099"/>
        <v>44524</v>
      </c>
      <c r="B1673" s="280" t="s">
        <v>193</v>
      </c>
      <c r="C1673" s="48">
        <f t="shared" ref="C1673" si="2169">(V1674-V1673)*1+(W1674-W1673)*32+(X1674-X1673)*12+(Y1674-Y1673)*6</f>
        <v>2146</v>
      </c>
      <c r="D1673" s="84">
        <f t="shared" si="2144"/>
        <v>2120</v>
      </c>
      <c r="E1673" s="45">
        <f t="shared" si="2154"/>
        <v>1335.9999999999559</v>
      </c>
      <c r="F1673" s="45">
        <f t="shared" ref="F1673" si="2170">(Z1674-Z1673)*1</f>
        <v>113</v>
      </c>
      <c r="G1673" s="79">
        <f t="shared" ref="G1673" si="2171">C1673+D1673+F1673+E1673</f>
        <v>5714.9999999999563</v>
      </c>
      <c r="H1673" s="199">
        <v>4670</v>
      </c>
      <c r="I1673" s="199">
        <v>1239</v>
      </c>
      <c r="J1673" s="200">
        <f t="shared" si="2126"/>
        <v>5909</v>
      </c>
      <c r="K1673" s="201">
        <f t="shared" si="2127"/>
        <v>194.00000000004366</v>
      </c>
      <c r="L1673" s="276">
        <v>442</v>
      </c>
      <c r="M1673" s="249">
        <v>0.42708333333333331</v>
      </c>
      <c r="N1673" s="235">
        <v>245537</v>
      </c>
      <c r="O1673" s="235">
        <v>120326</v>
      </c>
      <c r="P1673" s="235">
        <v>24019</v>
      </c>
      <c r="Q1673" s="235"/>
      <c r="R1673" s="235">
        <v>47296</v>
      </c>
      <c r="S1673" s="236">
        <v>4379.3</v>
      </c>
      <c r="T1673" s="236">
        <v>329.8</v>
      </c>
      <c r="U1673" s="236"/>
      <c r="V1673" s="235">
        <v>367856</v>
      </c>
      <c r="W1673" s="235">
        <v>138220</v>
      </c>
      <c r="X1673" s="235">
        <v>126135</v>
      </c>
      <c r="Y1673" s="235">
        <v>92778</v>
      </c>
      <c r="Z1673" s="235">
        <v>241417</v>
      </c>
    </row>
    <row r="1674" spans="1:26" ht="18" customHeight="1" x14ac:dyDescent="0.2">
      <c r="A1674" s="279">
        <f t="shared" si="2099"/>
        <v>44525</v>
      </c>
      <c r="B1674" s="280" t="s">
        <v>194</v>
      </c>
      <c r="C1674" s="48">
        <f t="shared" ref="C1674" si="2172">(V1675-V1674)*1+(W1675-W1674)*32+(X1675-X1674)*12+(Y1675-Y1674)*6</f>
        <v>2049</v>
      </c>
      <c r="D1674" s="84">
        <f t="shared" si="2144"/>
        <v>1968</v>
      </c>
      <c r="E1674" s="45">
        <f t="shared" si="2154"/>
        <v>1480.0000000000432</v>
      </c>
      <c r="F1674" s="45">
        <f t="shared" ref="F1674" si="2173">(Z1675-Z1674)*1</f>
        <v>96</v>
      </c>
      <c r="G1674" s="79">
        <f t="shared" ref="G1674" si="2174">C1674+D1674+F1674+E1674</f>
        <v>5593.0000000000437</v>
      </c>
      <c r="H1674" s="199">
        <v>4684</v>
      </c>
      <c r="I1674" s="199">
        <v>1214</v>
      </c>
      <c r="J1674" s="200">
        <f t="shared" si="2126"/>
        <v>5898</v>
      </c>
      <c r="K1674" s="201">
        <f t="shared" si="2127"/>
        <v>304.99999999995634</v>
      </c>
      <c r="L1674" s="276">
        <v>459</v>
      </c>
      <c r="M1674" s="249">
        <v>0.46875</v>
      </c>
      <c r="N1674" s="235">
        <v>245707</v>
      </c>
      <c r="O1674" s="235">
        <v>120391</v>
      </c>
      <c r="P1674" s="235">
        <v>24114</v>
      </c>
      <c r="Q1674" s="235"/>
      <c r="R1674" s="235">
        <v>47296</v>
      </c>
      <c r="S1674" s="236">
        <v>4395.8999999999996</v>
      </c>
      <c r="T1674" s="236">
        <v>330</v>
      </c>
      <c r="U1674" s="236"/>
      <c r="V1674" s="235">
        <v>368018</v>
      </c>
      <c r="W1674" s="235">
        <v>138252</v>
      </c>
      <c r="X1674" s="235">
        <v>126215</v>
      </c>
      <c r="Y1674" s="235">
        <v>92778</v>
      </c>
      <c r="Z1674" s="235">
        <v>241530</v>
      </c>
    </row>
    <row r="1675" spans="1:26" ht="18" customHeight="1" x14ac:dyDescent="0.2">
      <c r="A1675" s="279">
        <f t="shared" si="2099"/>
        <v>44526</v>
      </c>
      <c r="B1675" s="278" t="s">
        <v>189</v>
      </c>
      <c r="C1675" s="48">
        <f t="shared" ref="C1675:C1677" si="2175">(V1676-V1675)*1+(W1676-W1675)*32+(X1676-X1675)*12+(Y1676-Y1675)*6</f>
        <v>0</v>
      </c>
      <c r="D1675" s="84">
        <f t="shared" si="2144"/>
        <v>0</v>
      </c>
      <c r="E1675" s="45">
        <f t="shared" si="2154"/>
        <v>0</v>
      </c>
      <c r="F1675" s="45">
        <f t="shared" ref="F1675:F1677" si="2176">(Z1676-Z1675)*1</f>
        <v>0</v>
      </c>
      <c r="G1675" s="79">
        <f t="shared" ref="G1675:G1677" si="2177">C1675+D1675+F1675+E1675</f>
        <v>0</v>
      </c>
      <c r="H1675" s="199">
        <v>4182</v>
      </c>
      <c r="I1675" s="199">
        <v>1176</v>
      </c>
      <c r="J1675" s="200">
        <f t="shared" si="2126"/>
        <v>5358</v>
      </c>
      <c r="K1675" s="201">
        <f t="shared" si="2127"/>
        <v>5358</v>
      </c>
      <c r="L1675" s="276">
        <v>495</v>
      </c>
      <c r="M1675" s="249">
        <v>0.38541666666666669</v>
      </c>
      <c r="N1675" s="235">
        <v>245867</v>
      </c>
      <c r="O1675" s="235">
        <v>120456</v>
      </c>
      <c r="P1675" s="235">
        <v>24200</v>
      </c>
      <c r="Q1675" s="235"/>
      <c r="R1675" s="235">
        <v>47296</v>
      </c>
      <c r="S1675" s="236">
        <v>4412.8</v>
      </c>
      <c r="T1675" s="236">
        <v>333.2</v>
      </c>
      <c r="U1675" s="236"/>
      <c r="V1675" s="235">
        <v>368163</v>
      </c>
      <c r="W1675" s="235">
        <v>138283</v>
      </c>
      <c r="X1675" s="235">
        <v>126291</v>
      </c>
      <c r="Y1675" s="235">
        <v>92778</v>
      </c>
      <c r="Z1675" s="235">
        <v>241626</v>
      </c>
    </row>
    <row r="1676" spans="1:26" ht="18" customHeight="1" x14ac:dyDescent="0.2">
      <c r="A1676" s="279">
        <f t="shared" si="2099"/>
        <v>44527</v>
      </c>
      <c r="B1676" s="279" t="s">
        <v>195</v>
      </c>
      <c r="C1676" s="48">
        <f t="shared" si="2175"/>
        <v>0</v>
      </c>
      <c r="D1676" s="84">
        <f t="shared" si="2144"/>
        <v>0</v>
      </c>
      <c r="E1676" s="45">
        <f t="shared" si="2154"/>
        <v>0</v>
      </c>
      <c r="F1676" s="45">
        <f t="shared" si="2176"/>
        <v>0</v>
      </c>
      <c r="G1676" s="79">
        <f t="shared" si="2177"/>
        <v>0</v>
      </c>
      <c r="H1676" s="199">
        <v>0</v>
      </c>
      <c r="I1676" s="199">
        <f>1681+1013</f>
        <v>2694</v>
      </c>
      <c r="J1676" s="200">
        <f t="shared" si="2126"/>
        <v>2694</v>
      </c>
      <c r="K1676" s="201">
        <f t="shared" si="2127"/>
        <v>2694</v>
      </c>
      <c r="L1676" s="276">
        <v>121</v>
      </c>
      <c r="M1676" s="249">
        <v>0.78125</v>
      </c>
      <c r="N1676" s="153">
        <v>245867</v>
      </c>
      <c r="O1676" s="153">
        <v>120456</v>
      </c>
      <c r="P1676" s="153">
        <v>24200</v>
      </c>
      <c r="Q1676" s="153"/>
      <c r="R1676" s="153">
        <v>47296</v>
      </c>
      <c r="S1676" s="154">
        <v>4412.8</v>
      </c>
      <c r="T1676" s="154">
        <v>333.2</v>
      </c>
      <c r="U1676" s="154"/>
      <c r="V1676" s="153">
        <v>368163</v>
      </c>
      <c r="W1676" s="153">
        <v>138283</v>
      </c>
      <c r="X1676" s="153">
        <v>126291</v>
      </c>
      <c r="Y1676" s="153">
        <v>92778</v>
      </c>
      <c r="Z1676" s="153">
        <v>241626</v>
      </c>
    </row>
    <row r="1677" spans="1:26" ht="18" customHeight="1" x14ac:dyDescent="0.2">
      <c r="A1677" s="279">
        <f t="shared" si="2099"/>
        <v>44528</v>
      </c>
      <c r="B1677" s="278" t="s">
        <v>190</v>
      </c>
      <c r="C1677" s="48">
        <f t="shared" si="2175"/>
        <v>2418</v>
      </c>
      <c r="D1677" s="84">
        <f t="shared" si="2144"/>
        <v>3880</v>
      </c>
      <c r="E1677" s="45">
        <f t="shared" si="2154"/>
        <v>1588.0000000000155</v>
      </c>
      <c r="F1677" s="45">
        <f t="shared" si="2176"/>
        <v>173</v>
      </c>
      <c r="G1677" s="79">
        <f t="shared" si="2177"/>
        <v>8059.0000000000155</v>
      </c>
      <c r="H1677" s="199">
        <v>0</v>
      </c>
      <c r="I1677" s="199">
        <v>1339</v>
      </c>
      <c r="J1677" s="200">
        <f t="shared" si="2126"/>
        <v>1339</v>
      </c>
      <c r="K1677" s="201">
        <f t="shared" si="2127"/>
        <v>-6720.0000000000155</v>
      </c>
      <c r="L1677" s="276">
        <v>110</v>
      </c>
      <c r="M1677" s="249">
        <v>1.0416666666666666E-2</v>
      </c>
      <c r="N1677" s="153">
        <v>245867</v>
      </c>
      <c r="O1677" s="153">
        <v>120456</v>
      </c>
      <c r="P1677" s="153">
        <v>24200</v>
      </c>
      <c r="Q1677" s="153"/>
      <c r="R1677" s="153">
        <v>47296</v>
      </c>
      <c r="S1677" s="154">
        <v>4412.8</v>
      </c>
      <c r="T1677" s="154">
        <v>333.2</v>
      </c>
      <c r="U1677" s="154"/>
      <c r="V1677" s="153">
        <v>368163</v>
      </c>
      <c r="W1677" s="153">
        <v>138283</v>
      </c>
      <c r="X1677" s="153">
        <v>126291</v>
      </c>
      <c r="Y1677" s="153">
        <v>92778</v>
      </c>
      <c r="Z1677" s="153">
        <v>241626</v>
      </c>
    </row>
    <row r="1678" spans="1:26" ht="18" customHeight="1" x14ac:dyDescent="0.2">
      <c r="A1678" s="279">
        <f t="shared" si="2099"/>
        <v>44529</v>
      </c>
      <c r="B1678" s="280" t="s">
        <v>191</v>
      </c>
      <c r="C1678" s="48">
        <f t="shared" ref="C1678" si="2178">(V1679-V1678)*1+(W1679-W1678)*32+(X1679-X1678)*12+(Y1679-Y1678)*6</f>
        <v>2166</v>
      </c>
      <c r="D1678" s="84">
        <f t="shared" si="2144"/>
        <v>2048</v>
      </c>
      <c r="E1678" s="45">
        <f t="shared" si="2154"/>
        <v>1107.9999999999404</v>
      </c>
      <c r="F1678" s="45">
        <f t="shared" ref="F1678" si="2179">(Z1679-Z1678)*1</f>
        <v>64</v>
      </c>
      <c r="G1678" s="79">
        <f t="shared" ref="G1678" si="2180">C1678+D1678+F1678+E1678</f>
        <v>5385.99999999994</v>
      </c>
      <c r="H1678" s="199">
        <v>4461</v>
      </c>
      <c r="I1678" s="199">
        <v>613</v>
      </c>
      <c r="J1678" s="200">
        <f t="shared" si="2126"/>
        <v>5074</v>
      </c>
      <c r="K1678" s="201">
        <f t="shared" si="2127"/>
        <v>-311.99999999993997</v>
      </c>
      <c r="L1678" s="276">
        <v>431</v>
      </c>
      <c r="M1678" s="249">
        <v>0.42708333333333331</v>
      </c>
      <c r="N1678" s="235">
        <v>246187</v>
      </c>
      <c r="O1678" s="235">
        <v>120584</v>
      </c>
      <c r="P1678" s="235">
        <v>24365</v>
      </c>
      <c r="Q1678" s="235"/>
      <c r="R1678" s="235">
        <v>47296</v>
      </c>
      <c r="S1678" s="236">
        <v>4432.1000000000004</v>
      </c>
      <c r="T1678" s="236">
        <v>334.3</v>
      </c>
      <c r="U1678" s="236"/>
      <c r="V1678" s="235">
        <v>368553</v>
      </c>
      <c r="W1678" s="235">
        <v>138322</v>
      </c>
      <c r="X1678" s="235">
        <v>126356</v>
      </c>
      <c r="Y1678" s="235">
        <v>92778</v>
      </c>
      <c r="Z1678" s="235">
        <v>241799</v>
      </c>
    </row>
    <row r="1679" spans="1:26" ht="18" customHeight="1" x14ac:dyDescent="0.2">
      <c r="A1679" s="279">
        <f t="shared" si="2099"/>
        <v>44530</v>
      </c>
      <c r="B1679" s="280" t="s">
        <v>192</v>
      </c>
      <c r="C1679" s="48">
        <f t="shared" ref="C1679" si="2181">(V1680-V1679)*1+(W1680-W1679)*32+(X1680-X1679)*12+(Y1680-Y1679)*6</f>
        <v>1883</v>
      </c>
      <c r="D1679" s="84">
        <f t="shared" si="2144"/>
        <v>2000</v>
      </c>
      <c r="E1679" s="45">
        <f t="shared" si="2154"/>
        <v>844.00000000001455</v>
      </c>
      <c r="F1679" s="45">
        <f t="shared" ref="F1679" si="2182">(Z1680-Z1679)*1</f>
        <v>112</v>
      </c>
      <c r="G1679" s="79">
        <f t="shared" ref="G1679" si="2183">C1679+D1679+F1679+E1679</f>
        <v>4839.0000000000146</v>
      </c>
      <c r="H1679" s="199">
        <v>4068</v>
      </c>
      <c r="I1679" s="199">
        <v>1201</v>
      </c>
      <c r="J1679" s="200">
        <f t="shared" si="2126"/>
        <v>5269</v>
      </c>
      <c r="K1679" s="201">
        <f t="shared" si="2127"/>
        <v>429.99999999998545</v>
      </c>
      <c r="L1679" s="276">
        <v>402</v>
      </c>
      <c r="M1679" s="249">
        <v>0.39583333333333331</v>
      </c>
      <c r="N1679" s="235">
        <v>246297</v>
      </c>
      <c r="O1679" s="235">
        <v>120626</v>
      </c>
      <c r="P1679" s="235">
        <v>24511</v>
      </c>
      <c r="Q1679" s="235"/>
      <c r="R1679" s="235">
        <v>47296</v>
      </c>
      <c r="S1679" s="236">
        <v>4445.8999999999996</v>
      </c>
      <c r="T1679" s="236">
        <v>334.4</v>
      </c>
      <c r="U1679" s="236"/>
      <c r="V1679" s="235">
        <v>368703</v>
      </c>
      <c r="W1679" s="235">
        <v>138361</v>
      </c>
      <c r="X1679" s="235">
        <v>126420</v>
      </c>
      <c r="Y1679" s="235">
        <v>92778</v>
      </c>
      <c r="Z1679" s="235">
        <v>241863</v>
      </c>
    </row>
    <row r="1680" spans="1:26" ht="18" customHeight="1" x14ac:dyDescent="0.2">
      <c r="A1680" s="279">
        <f t="shared" si="2099"/>
        <v>44531</v>
      </c>
      <c r="B1680" s="280" t="s">
        <v>193</v>
      </c>
      <c r="C1680" s="48">
        <f t="shared" ref="C1680" si="2184">(V1681-V1680)*1+(W1681-W1680)*32+(X1681-X1680)*12+(Y1681-Y1680)*6</f>
        <v>2234</v>
      </c>
      <c r="D1680" s="84">
        <f t="shared" si="2144"/>
        <v>1976</v>
      </c>
      <c r="E1680" s="45">
        <f t="shared" si="2154"/>
        <v>467.9999999999859</v>
      </c>
      <c r="F1680" s="45">
        <f t="shared" ref="F1680" si="2185">(Z1681-Z1680)*1</f>
        <v>114</v>
      </c>
      <c r="G1680" s="79">
        <f t="shared" ref="G1680" si="2186">C1680+D1680+F1680+E1680</f>
        <v>4791.9999999999854</v>
      </c>
      <c r="H1680" s="199"/>
      <c r="I1680" s="199"/>
      <c r="J1680" s="200"/>
      <c r="K1680" s="201"/>
      <c r="L1680" s="276"/>
      <c r="M1680" s="276"/>
      <c r="N1680" s="235">
        <v>246395</v>
      </c>
      <c r="O1680" s="235">
        <v>120664</v>
      </c>
      <c r="P1680" s="235">
        <v>24663</v>
      </c>
      <c r="Q1680" s="235"/>
      <c r="R1680" s="235">
        <v>47296</v>
      </c>
      <c r="S1680" s="236">
        <v>4456.2</v>
      </c>
      <c r="T1680" s="236">
        <v>334.9</v>
      </c>
      <c r="U1680" s="236"/>
      <c r="V1680" s="235">
        <v>368862</v>
      </c>
      <c r="W1680" s="235">
        <v>138386</v>
      </c>
      <c r="X1680" s="235">
        <v>126497</v>
      </c>
      <c r="Y1680" s="235">
        <v>92778</v>
      </c>
      <c r="Z1680" s="235">
        <v>241975</v>
      </c>
    </row>
    <row r="1681" spans="1:26" ht="18" customHeight="1" x14ac:dyDescent="0.2">
      <c r="A1681" s="279">
        <f t="shared" si="2099"/>
        <v>44532</v>
      </c>
      <c r="B1681" s="280" t="s">
        <v>194</v>
      </c>
      <c r="C1681" s="48">
        <f t="shared" ref="C1681" si="2187">(V1682-V1681)*1+(W1682-W1681)*32+(X1682-X1681)*12+(Y1682-Y1681)*6</f>
        <v>2027</v>
      </c>
      <c r="D1681" s="84">
        <f t="shared" si="2144"/>
        <v>1840</v>
      </c>
      <c r="E1681" s="45">
        <f t="shared" si="2154"/>
        <v>1320.0000000000159</v>
      </c>
      <c r="F1681" s="45">
        <f t="shared" ref="F1681" si="2188">(Z1682-Z1681)*1</f>
        <v>102</v>
      </c>
      <c r="G1681" s="79">
        <f t="shared" ref="G1681" si="2189">C1681+D1681+F1681+E1681</f>
        <v>5289.0000000000164</v>
      </c>
      <c r="H1681" s="199"/>
      <c r="I1681" s="199"/>
      <c r="J1681" s="200"/>
      <c r="K1681" s="201"/>
      <c r="L1681" s="276"/>
      <c r="M1681" s="276"/>
      <c r="N1681" s="235">
        <v>246497</v>
      </c>
      <c r="O1681" s="235">
        <v>120701</v>
      </c>
      <c r="P1681" s="235">
        <v>24808</v>
      </c>
      <c r="Q1681" s="235"/>
      <c r="R1681" s="235">
        <v>47296</v>
      </c>
      <c r="S1681" s="236">
        <v>4461.8999999999996</v>
      </c>
      <c r="T1681" s="236">
        <v>335.2</v>
      </c>
      <c r="U1681" s="236"/>
      <c r="V1681" s="235">
        <v>369016</v>
      </c>
      <c r="W1681" s="235">
        <v>138421</v>
      </c>
      <c r="X1681" s="235">
        <v>126577</v>
      </c>
      <c r="Y1681" s="235">
        <v>92778</v>
      </c>
      <c r="Z1681" s="235">
        <v>242089</v>
      </c>
    </row>
    <row r="1682" spans="1:26" ht="18" customHeight="1" x14ac:dyDescent="0.2">
      <c r="A1682" s="279">
        <f t="shared" si="2099"/>
        <v>44533</v>
      </c>
      <c r="B1682" s="278" t="s">
        <v>189</v>
      </c>
      <c r="C1682" s="48">
        <f t="shared" ref="C1682:C1684" si="2190">(V1683-V1682)*1+(W1683-W1682)*32+(X1683-X1682)*12+(Y1683-Y1682)*6</f>
        <v>0</v>
      </c>
      <c r="D1682" s="84">
        <f t="shared" si="2144"/>
        <v>0</v>
      </c>
      <c r="E1682" s="45">
        <f t="shared" si="2154"/>
        <v>0</v>
      </c>
      <c r="F1682" s="45">
        <f t="shared" ref="F1682:F1684" si="2191">(Z1683-Z1682)*1</f>
        <v>0</v>
      </c>
      <c r="G1682" s="79">
        <f t="shared" ref="G1682:G1684" si="2192">C1682+D1682+F1682+E1682</f>
        <v>0</v>
      </c>
      <c r="H1682" s="199"/>
      <c r="I1682" s="199"/>
      <c r="J1682" s="200"/>
      <c r="K1682" s="201"/>
      <c r="L1682" s="276"/>
      <c r="M1682" s="276"/>
      <c r="N1682" s="235">
        <v>246587</v>
      </c>
      <c r="O1682" s="235">
        <v>120739</v>
      </c>
      <c r="P1682" s="235">
        <v>24948</v>
      </c>
      <c r="Q1682" s="235"/>
      <c r="R1682" s="235">
        <v>47296</v>
      </c>
      <c r="S1682" s="236">
        <v>4478.2</v>
      </c>
      <c r="T1682" s="236">
        <v>335.6</v>
      </c>
      <c r="U1682" s="236"/>
      <c r="V1682" s="235">
        <v>369171</v>
      </c>
      <c r="W1682" s="235">
        <v>138454</v>
      </c>
      <c r="X1682" s="235">
        <v>126645</v>
      </c>
      <c r="Y1682" s="235">
        <v>92778</v>
      </c>
      <c r="Z1682" s="235">
        <v>242191</v>
      </c>
    </row>
    <row r="1683" spans="1:26" ht="18" customHeight="1" x14ac:dyDescent="0.2">
      <c r="A1683" s="279">
        <f t="shared" si="2099"/>
        <v>44534</v>
      </c>
      <c r="B1683" s="279" t="s">
        <v>195</v>
      </c>
      <c r="C1683" s="48">
        <f t="shared" si="2190"/>
        <v>0</v>
      </c>
      <c r="D1683" s="84">
        <f t="shared" si="2144"/>
        <v>0</v>
      </c>
      <c r="E1683" s="45">
        <f t="shared" si="2154"/>
        <v>0</v>
      </c>
      <c r="F1683" s="45">
        <f t="shared" si="2191"/>
        <v>0</v>
      </c>
      <c r="G1683" s="79">
        <f t="shared" si="2192"/>
        <v>0</v>
      </c>
      <c r="H1683" s="199"/>
      <c r="I1683" s="199"/>
      <c r="J1683" s="200"/>
      <c r="K1683" s="201"/>
      <c r="L1683" s="276"/>
      <c r="M1683" s="276"/>
      <c r="N1683" s="153">
        <v>246587</v>
      </c>
      <c r="O1683" s="153">
        <v>120739</v>
      </c>
      <c r="P1683" s="153">
        <v>24948</v>
      </c>
      <c r="Q1683" s="153"/>
      <c r="R1683" s="153">
        <v>47296</v>
      </c>
      <c r="S1683" s="154">
        <v>4478.2</v>
      </c>
      <c r="T1683" s="154">
        <v>335.6</v>
      </c>
      <c r="U1683" s="154"/>
      <c r="V1683" s="153">
        <v>369171</v>
      </c>
      <c r="W1683" s="153">
        <v>138454</v>
      </c>
      <c r="X1683" s="153">
        <v>126645</v>
      </c>
      <c r="Y1683" s="153">
        <v>92778</v>
      </c>
      <c r="Z1683" s="153">
        <v>242191</v>
      </c>
    </row>
    <row r="1684" spans="1:26" ht="18" customHeight="1" x14ac:dyDescent="0.2">
      <c r="A1684" s="279">
        <f t="shared" si="2099"/>
        <v>44535</v>
      </c>
      <c r="B1684" s="278" t="s">
        <v>190</v>
      </c>
      <c r="C1684" s="48">
        <f t="shared" si="2190"/>
        <v>2909</v>
      </c>
      <c r="D1684" s="84">
        <f t="shared" si="2144"/>
        <v>6344</v>
      </c>
      <c r="E1684" s="45">
        <f t="shared" si="2154"/>
        <v>1732.0000000000141</v>
      </c>
      <c r="F1684" s="45">
        <f t="shared" si="2191"/>
        <v>328</v>
      </c>
      <c r="G1684" s="79">
        <f t="shared" si="2192"/>
        <v>11313.000000000015</v>
      </c>
      <c r="H1684" s="199"/>
      <c r="I1684" s="199"/>
      <c r="J1684" s="200"/>
      <c r="K1684" s="201"/>
      <c r="L1684" s="276"/>
      <c r="M1684" s="276"/>
      <c r="N1684" s="153">
        <v>246587</v>
      </c>
      <c r="O1684" s="153">
        <v>120739</v>
      </c>
      <c r="P1684" s="153">
        <v>24948</v>
      </c>
      <c r="Q1684" s="153"/>
      <c r="R1684" s="153">
        <v>47296</v>
      </c>
      <c r="S1684" s="154">
        <v>4478.2</v>
      </c>
      <c r="T1684" s="154">
        <v>335.6</v>
      </c>
      <c r="U1684" s="154"/>
      <c r="V1684" s="153">
        <v>369171</v>
      </c>
      <c r="W1684" s="153">
        <v>138454</v>
      </c>
      <c r="X1684" s="153">
        <v>126645</v>
      </c>
      <c r="Y1684" s="153">
        <v>92778</v>
      </c>
      <c r="Z1684" s="153">
        <v>242191</v>
      </c>
    </row>
    <row r="1685" spans="1:26" ht="18" customHeight="1" x14ac:dyDescent="0.2">
      <c r="A1685" s="279">
        <f t="shared" si="2099"/>
        <v>44536</v>
      </c>
      <c r="B1685" s="280" t="s">
        <v>191</v>
      </c>
      <c r="C1685" s="48">
        <f t="shared" ref="C1685" si="2193">(V1686-V1685)*1+(W1686-W1685)*32+(X1686-X1685)*12+(Y1686-Y1685)*6</f>
        <v>1916</v>
      </c>
      <c r="D1685" s="84">
        <f t="shared" si="2144"/>
        <v>2176</v>
      </c>
      <c r="E1685" s="45">
        <f t="shared" si="2154"/>
        <v>759.99999999997044</v>
      </c>
      <c r="F1685" s="45">
        <f t="shared" ref="F1685" si="2194">(Z1686-Z1685)*1</f>
        <v>88</v>
      </c>
      <c r="G1685" s="79">
        <f t="shared" ref="G1685" si="2195">C1685+D1685+F1685+E1685</f>
        <v>4939.9999999999709</v>
      </c>
      <c r="H1685" s="199"/>
      <c r="I1685" s="199"/>
      <c r="J1685" s="200"/>
      <c r="K1685" s="201"/>
      <c r="L1685" s="276"/>
      <c r="M1685" s="276"/>
      <c r="N1685" s="235">
        <v>246907</v>
      </c>
      <c r="O1685" s="235">
        <v>120760</v>
      </c>
      <c r="P1685" s="235">
        <v>25421</v>
      </c>
      <c r="Q1685" s="235"/>
      <c r="R1685" s="235">
        <v>47296</v>
      </c>
      <c r="S1685" s="236">
        <v>4499.5</v>
      </c>
      <c r="T1685" s="236">
        <v>336.3</v>
      </c>
      <c r="U1685" s="236"/>
      <c r="V1685" s="235">
        <v>369552</v>
      </c>
      <c r="W1685" s="235">
        <v>138503</v>
      </c>
      <c r="X1685" s="235">
        <v>126725</v>
      </c>
      <c r="Y1685" s="235">
        <v>92778</v>
      </c>
      <c r="Z1685" s="235">
        <v>242519</v>
      </c>
    </row>
    <row r="1686" spans="1:26" ht="18" customHeight="1" x14ac:dyDescent="0.2">
      <c r="A1686" s="279">
        <f t="shared" si="2099"/>
        <v>44537</v>
      </c>
      <c r="B1686" s="280" t="s">
        <v>192</v>
      </c>
      <c r="C1686" s="48">
        <f t="shared" ref="C1686" si="2196">(V1687-V1686)*1+(W1687-W1686)*32+(X1687-X1686)*12+(Y1687-Y1686)*6</f>
        <v>2080</v>
      </c>
      <c r="D1686" s="84">
        <f t="shared" si="2144"/>
        <v>2256</v>
      </c>
      <c r="E1686" s="45">
        <f t="shared" si="2154"/>
        <v>492.00000000003001</v>
      </c>
      <c r="F1686" s="45">
        <f t="shared" ref="F1686" si="2197">(Z1687-Z1686)*1</f>
        <v>105</v>
      </c>
      <c r="G1686" s="79">
        <f t="shared" ref="G1686" si="2198">C1686+D1686+F1686+E1686</f>
        <v>4933.00000000003</v>
      </c>
      <c r="H1686" s="199"/>
      <c r="I1686" s="199"/>
      <c r="J1686" s="200"/>
      <c r="K1686" s="201"/>
      <c r="L1686" s="276"/>
      <c r="M1686" s="276"/>
      <c r="N1686" s="235">
        <v>247017</v>
      </c>
      <c r="O1686" s="235">
        <v>120903</v>
      </c>
      <c r="P1686" s="235">
        <v>25583</v>
      </c>
      <c r="Q1686" s="235"/>
      <c r="R1686" s="235">
        <v>47296</v>
      </c>
      <c r="S1686" s="236">
        <v>4509.3999999999996</v>
      </c>
      <c r="T1686" s="236">
        <v>335.5</v>
      </c>
      <c r="U1686" s="236"/>
      <c r="V1686" s="235">
        <v>369708</v>
      </c>
      <c r="W1686" s="235">
        <v>138531</v>
      </c>
      <c r="X1686" s="235">
        <v>126797</v>
      </c>
      <c r="Y1686" s="235">
        <v>92778</v>
      </c>
      <c r="Z1686" s="235">
        <v>242607</v>
      </c>
    </row>
    <row r="1687" spans="1:26" ht="18" customHeight="1" x14ac:dyDescent="0.2">
      <c r="A1687" s="279">
        <f t="shared" si="2099"/>
        <v>44538</v>
      </c>
      <c r="B1687" s="280" t="s">
        <v>193</v>
      </c>
      <c r="C1687" s="48">
        <f t="shared" ref="C1687" si="2199">(V1688-V1687)*1+(W1688-W1687)*32+(X1688-X1687)*12+(Y1688-Y1687)*6</f>
        <v>2092</v>
      </c>
      <c r="D1687" s="84">
        <f t="shared" si="2144"/>
        <v>1856</v>
      </c>
      <c r="E1687" s="45">
        <f t="shared" si="2154"/>
        <v>1623.999999999985</v>
      </c>
      <c r="F1687" s="45">
        <f t="shared" ref="F1687" si="2200">(Z1688-Z1687)*1</f>
        <v>102</v>
      </c>
      <c r="G1687" s="79">
        <f t="shared" ref="G1687" si="2201">C1687+D1687+F1687+E1687</f>
        <v>5673.9999999999854</v>
      </c>
      <c r="H1687" s="199"/>
      <c r="I1687" s="199"/>
      <c r="J1687" s="200"/>
      <c r="K1687" s="201"/>
      <c r="L1687" s="276"/>
      <c r="M1687" s="276"/>
      <c r="N1687" s="235">
        <v>247137</v>
      </c>
      <c r="O1687" s="235">
        <v>120947</v>
      </c>
      <c r="P1687" s="235">
        <v>25745</v>
      </c>
      <c r="Q1687" s="235"/>
      <c r="R1687" s="235">
        <v>47296</v>
      </c>
      <c r="S1687" s="236">
        <v>4515</v>
      </c>
      <c r="T1687" s="236">
        <v>336.6</v>
      </c>
      <c r="U1687" s="236"/>
      <c r="V1687" s="235">
        <v>369876</v>
      </c>
      <c r="W1687" s="235">
        <v>138566</v>
      </c>
      <c r="X1687" s="235">
        <v>126863</v>
      </c>
      <c r="Y1687" s="235">
        <v>92778</v>
      </c>
      <c r="Z1687" s="235">
        <v>242712</v>
      </c>
    </row>
    <row r="1688" spans="1:26" ht="18" customHeight="1" x14ac:dyDescent="0.2">
      <c r="A1688" s="279">
        <f t="shared" si="2099"/>
        <v>44539</v>
      </c>
      <c r="B1688" s="280" t="s">
        <v>194</v>
      </c>
      <c r="C1688" s="48">
        <f t="shared" ref="C1688" si="2202">(V1689-V1688)*1+(W1689-W1688)*32+(X1689-X1688)*12+(Y1689-Y1688)*6</f>
        <v>1877</v>
      </c>
      <c r="D1688" s="84">
        <f t="shared" si="2144"/>
        <v>2352</v>
      </c>
      <c r="E1688" s="45">
        <f t="shared" si="2154"/>
        <v>2319.9999999999841</v>
      </c>
      <c r="F1688" s="45">
        <f t="shared" ref="F1688" si="2203">(Z1689-Z1688)*1</f>
        <v>91</v>
      </c>
      <c r="G1688" s="79">
        <f t="shared" ref="G1688" si="2204">C1688+D1688+F1688+E1688</f>
        <v>6639.9999999999836</v>
      </c>
      <c r="H1688" s="199"/>
      <c r="I1688" s="199"/>
      <c r="J1688" s="200"/>
      <c r="K1688" s="201"/>
      <c r="L1688" s="276"/>
      <c r="M1688" s="276"/>
      <c r="N1688" s="235">
        <v>247217</v>
      </c>
      <c r="O1688" s="235">
        <v>120977</v>
      </c>
      <c r="P1688" s="235">
        <v>25897</v>
      </c>
      <c r="Q1688" s="235"/>
      <c r="R1688" s="235">
        <v>47296</v>
      </c>
      <c r="S1688" s="236">
        <v>4535.2</v>
      </c>
      <c r="T1688" s="236">
        <v>336.8</v>
      </c>
      <c r="U1688" s="236"/>
      <c r="V1688" s="235">
        <v>370044</v>
      </c>
      <c r="W1688" s="235">
        <v>138598</v>
      </c>
      <c r="X1688" s="235">
        <v>126938</v>
      </c>
      <c r="Y1688" s="235">
        <v>92778</v>
      </c>
      <c r="Z1688" s="235">
        <v>242814</v>
      </c>
    </row>
    <row r="1689" spans="1:26" ht="18" customHeight="1" x14ac:dyDescent="0.2">
      <c r="A1689" s="279">
        <f t="shared" si="2099"/>
        <v>44540</v>
      </c>
      <c r="B1689" s="278" t="s">
        <v>189</v>
      </c>
      <c r="C1689" s="48">
        <f t="shared" ref="C1689:C1691" si="2205">(V1690-V1689)*1+(W1690-W1689)*32+(X1690-X1689)*12+(Y1690-Y1689)*6</f>
        <v>0</v>
      </c>
      <c r="D1689" s="84">
        <f t="shared" si="2144"/>
        <v>0</v>
      </c>
      <c r="E1689" s="45">
        <f t="shared" si="2154"/>
        <v>800</v>
      </c>
      <c r="F1689" s="45">
        <f t="shared" ref="F1689:F1691" si="2206">(Z1690-Z1689)*1</f>
        <v>0</v>
      </c>
      <c r="G1689" s="79">
        <f t="shared" ref="G1689:G1691" si="2207">C1689+D1689+F1689+E1689</f>
        <v>800</v>
      </c>
      <c r="H1689" s="199"/>
      <c r="I1689" s="199"/>
      <c r="J1689" s="200"/>
      <c r="K1689" s="201"/>
      <c r="L1689" s="276"/>
      <c r="M1689" s="276"/>
      <c r="N1689" s="235">
        <v>247357</v>
      </c>
      <c r="O1689" s="235">
        <v>121035</v>
      </c>
      <c r="P1689" s="235">
        <v>26051</v>
      </c>
      <c r="Q1689" s="235"/>
      <c r="R1689" s="235">
        <v>47296</v>
      </c>
      <c r="S1689" s="236">
        <v>4553.8999999999996</v>
      </c>
      <c r="T1689" s="236">
        <v>357.4</v>
      </c>
      <c r="U1689" s="236"/>
      <c r="V1689" s="235">
        <v>370197</v>
      </c>
      <c r="W1689" s="235">
        <v>138629</v>
      </c>
      <c r="X1689" s="235">
        <v>126999</v>
      </c>
      <c r="Y1689" s="235">
        <v>92778</v>
      </c>
      <c r="Z1689" s="235">
        <v>242905</v>
      </c>
    </row>
    <row r="1690" spans="1:26" ht="18" customHeight="1" x14ac:dyDescent="0.2">
      <c r="A1690" s="279">
        <f t="shared" si="2099"/>
        <v>44541</v>
      </c>
      <c r="B1690" s="279" t="s">
        <v>195</v>
      </c>
      <c r="C1690" s="48">
        <f t="shared" si="2205"/>
        <v>0</v>
      </c>
      <c r="D1690" s="84">
        <f t="shared" si="2144"/>
        <v>0</v>
      </c>
      <c r="E1690" s="45">
        <f t="shared" si="2154"/>
        <v>0</v>
      </c>
      <c r="F1690" s="45">
        <f t="shared" si="2206"/>
        <v>0</v>
      </c>
      <c r="G1690" s="79">
        <f t="shared" si="2207"/>
        <v>0</v>
      </c>
      <c r="H1690" s="199"/>
      <c r="I1690" s="199"/>
      <c r="J1690" s="200"/>
      <c r="K1690" s="201"/>
      <c r="L1690" s="276"/>
      <c r="M1690" s="276"/>
      <c r="N1690" s="153">
        <v>247357</v>
      </c>
      <c r="O1690" s="153">
        <v>121035</v>
      </c>
      <c r="P1690" s="153">
        <v>26051</v>
      </c>
      <c r="Q1690" s="153"/>
      <c r="R1690" s="153">
        <v>47296</v>
      </c>
      <c r="S1690" s="154">
        <v>4553.8999999999996</v>
      </c>
      <c r="T1690" s="154">
        <v>377.4</v>
      </c>
      <c r="U1690" s="154"/>
      <c r="V1690" s="153">
        <v>370197</v>
      </c>
      <c r="W1690" s="153">
        <v>138629</v>
      </c>
      <c r="X1690" s="153">
        <v>126999</v>
      </c>
      <c r="Y1690" s="153">
        <v>92778</v>
      </c>
      <c r="Z1690" s="153">
        <v>242905</v>
      </c>
    </row>
    <row r="1691" spans="1:26" ht="18" customHeight="1" x14ac:dyDescent="0.2">
      <c r="A1691" s="279">
        <f t="shared" si="2099"/>
        <v>44542</v>
      </c>
      <c r="B1691" s="278" t="s">
        <v>190</v>
      </c>
      <c r="C1691" s="48">
        <f t="shared" si="2205"/>
        <v>4406</v>
      </c>
      <c r="D1691" s="84">
        <f t="shared" si="2144"/>
        <v>7104</v>
      </c>
      <c r="E1691" s="45">
        <f t="shared" si="2154"/>
        <v>1060.0000000000455</v>
      </c>
      <c r="F1691" s="45">
        <f t="shared" si="2206"/>
        <v>291</v>
      </c>
      <c r="G1691" s="79">
        <f t="shared" si="2207"/>
        <v>12861.000000000045</v>
      </c>
      <c r="H1691" s="199"/>
      <c r="I1691" s="199"/>
      <c r="J1691" s="200"/>
      <c r="K1691" s="201"/>
      <c r="L1691" s="276"/>
      <c r="M1691" s="276"/>
      <c r="N1691" s="153">
        <v>247357</v>
      </c>
      <c r="O1691" s="153">
        <v>121035</v>
      </c>
      <c r="P1691" s="153">
        <v>26051</v>
      </c>
      <c r="Q1691" s="153"/>
      <c r="R1691" s="153">
        <v>47296</v>
      </c>
      <c r="S1691" s="154">
        <v>4553.8999999999996</v>
      </c>
      <c r="T1691" s="154">
        <v>377.4</v>
      </c>
      <c r="U1691" s="154"/>
      <c r="V1691" s="153">
        <v>370197</v>
      </c>
      <c r="W1691" s="153">
        <v>138629</v>
      </c>
      <c r="X1691" s="153">
        <v>126999</v>
      </c>
      <c r="Y1691" s="153">
        <v>92778</v>
      </c>
      <c r="Z1691" s="153">
        <v>242905</v>
      </c>
    </row>
    <row r="1692" spans="1:26" ht="18" customHeight="1" x14ac:dyDescent="0.2">
      <c r="A1692" s="279">
        <f t="shared" si="2099"/>
        <v>44543</v>
      </c>
      <c r="B1692" s="280" t="s">
        <v>191</v>
      </c>
      <c r="C1692" s="48">
        <f t="shared" ref="C1692" si="2208">(V1693-V1692)*1+(W1693-W1692)*32+(X1693-X1692)*12+(Y1693-Y1692)*6</f>
        <v>2080</v>
      </c>
      <c r="D1692" s="84">
        <f t="shared" si="2144"/>
        <v>2224</v>
      </c>
      <c r="E1692" s="45">
        <f t="shared" si="2154"/>
        <v>1751.999999999955</v>
      </c>
      <c r="F1692" s="45">
        <f t="shared" ref="F1692" si="2209">(Z1693-Z1692)*1</f>
        <v>100</v>
      </c>
      <c r="G1692" s="79">
        <f t="shared" ref="G1692" si="2210">C1692+D1692+F1692+E1692</f>
        <v>6155.9999999999545</v>
      </c>
      <c r="H1692" s="199"/>
      <c r="I1692" s="199"/>
      <c r="J1692" s="200"/>
      <c r="K1692" s="201"/>
      <c r="L1692" s="276"/>
      <c r="M1692" s="276"/>
      <c r="N1692" s="235">
        <v>247707</v>
      </c>
      <c r="O1692" s="235">
        <v>121167</v>
      </c>
      <c r="P1692" s="235">
        <v>26589</v>
      </c>
      <c r="Q1692" s="235"/>
      <c r="R1692" s="235">
        <v>47296</v>
      </c>
      <c r="S1692" s="236">
        <v>4574.8</v>
      </c>
      <c r="T1692" s="236">
        <v>362.1</v>
      </c>
      <c r="U1692" s="236"/>
      <c r="V1692" s="235">
        <v>370615</v>
      </c>
      <c r="W1692" s="235">
        <v>138703</v>
      </c>
      <c r="X1692" s="235">
        <v>127134</v>
      </c>
      <c r="Y1692" s="235">
        <v>92778</v>
      </c>
      <c r="Z1692" s="235">
        <v>243196</v>
      </c>
    </row>
    <row r="1693" spans="1:26" ht="18" customHeight="1" x14ac:dyDescent="0.2">
      <c r="A1693" s="279">
        <f t="shared" si="2099"/>
        <v>44544</v>
      </c>
      <c r="B1693" s="280" t="s">
        <v>192</v>
      </c>
      <c r="C1693" s="48">
        <f t="shared" ref="C1693" si="2211">(V1694-V1693)*1+(W1694-W1693)*32+(X1694-X1693)*12+(Y1694-Y1693)*6</f>
        <v>2199</v>
      </c>
      <c r="D1693" s="84">
        <f t="shared" si="2144"/>
        <v>2232</v>
      </c>
      <c r="E1693" s="45">
        <f t="shared" si="2154"/>
        <v>1008.000000000045</v>
      </c>
      <c r="F1693" s="45">
        <f t="shared" ref="F1693" si="2212">(Z1694-Z1693)*1</f>
        <v>59</v>
      </c>
      <c r="G1693" s="79">
        <f t="shared" ref="G1693" si="2213">C1693+D1693+F1693+E1693</f>
        <v>5498.0000000000455</v>
      </c>
      <c r="H1693" s="199"/>
      <c r="I1693" s="199"/>
      <c r="J1693" s="200"/>
      <c r="K1693" s="201"/>
      <c r="L1693" s="276"/>
      <c r="M1693" s="276"/>
      <c r="N1693" s="235">
        <v>247817</v>
      </c>
      <c r="O1693" s="235">
        <v>121210</v>
      </c>
      <c r="P1693" s="235">
        <v>26757</v>
      </c>
      <c r="Q1693" s="235"/>
      <c r="R1693" s="235">
        <v>47296</v>
      </c>
      <c r="S1693" s="236">
        <v>4593.8999999999996</v>
      </c>
      <c r="T1693" s="236">
        <v>367.7</v>
      </c>
      <c r="U1693" s="236"/>
      <c r="V1693" s="235">
        <v>370767</v>
      </c>
      <c r="W1693" s="235">
        <v>138737</v>
      </c>
      <c r="X1693" s="235">
        <v>127204</v>
      </c>
      <c r="Y1693" s="235">
        <v>92778</v>
      </c>
      <c r="Z1693" s="235">
        <v>243296</v>
      </c>
    </row>
    <row r="1694" spans="1:26" ht="18" customHeight="1" x14ac:dyDescent="0.2">
      <c r="A1694" s="279">
        <f t="shared" si="2099"/>
        <v>44545</v>
      </c>
      <c r="B1694" s="280" t="s">
        <v>193</v>
      </c>
      <c r="C1694" s="48">
        <f t="shared" ref="C1694" si="2214">(V1695-V1694)*1+(W1695-W1694)*32+(X1695-X1694)*12+(Y1695-Y1694)*6</f>
        <v>1975</v>
      </c>
      <c r="D1694" s="84">
        <f t="shared" si="2144"/>
        <v>2256</v>
      </c>
      <c r="E1694" s="45">
        <f t="shared" si="2154"/>
        <v>667.99999999998363</v>
      </c>
      <c r="F1694" s="45">
        <f t="shared" ref="F1694" si="2215">(Z1695-Z1694)*1</f>
        <v>79</v>
      </c>
      <c r="G1694" s="79">
        <f t="shared" ref="G1694" si="2216">C1694+D1694+F1694+E1694</f>
        <v>4977.9999999999836</v>
      </c>
      <c r="H1694" s="199"/>
      <c r="I1694" s="199"/>
      <c r="J1694" s="200"/>
      <c r="K1694" s="201"/>
      <c r="L1694" s="276"/>
      <c r="M1694" s="276"/>
      <c r="N1694" s="235">
        <v>247927</v>
      </c>
      <c r="O1694" s="235">
        <v>121252</v>
      </c>
      <c r="P1694" s="235">
        <v>26926</v>
      </c>
      <c r="Q1694" s="235"/>
      <c r="R1694" s="235">
        <v>47296</v>
      </c>
      <c r="S1694" s="236">
        <v>4605.3</v>
      </c>
      <c r="T1694" s="236">
        <v>370.1</v>
      </c>
      <c r="U1694" s="236"/>
      <c r="V1694" s="235">
        <v>370930</v>
      </c>
      <c r="W1694" s="235">
        <v>138771</v>
      </c>
      <c r="X1694" s="235">
        <v>127283</v>
      </c>
      <c r="Y1694" s="235">
        <v>92778</v>
      </c>
      <c r="Z1694" s="235">
        <v>243355</v>
      </c>
    </row>
    <row r="1695" spans="1:26" ht="18" customHeight="1" x14ac:dyDescent="0.2">
      <c r="A1695" s="279">
        <f t="shared" si="2099"/>
        <v>44546</v>
      </c>
      <c r="B1695" s="280" t="s">
        <v>194</v>
      </c>
      <c r="C1695" s="48">
        <f t="shared" ref="C1695" si="2217">(V1696-V1695)*1+(W1696-W1695)*32+(X1696-X1695)*12+(Y1696-Y1695)*6</f>
        <v>1940</v>
      </c>
      <c r="D1695" s="84">
        <f t="shared" si="2144"/>
        <v>2368</v>
      </c>
      <c r="E1695" s="45">
        <f t="shared" si="2154"/>
        <v>1587.9999999999859</v>
      </c>
      <c r="F1695" s="45">
        <f t="shared" ref="F1695" si="2218">(Z1696-Z1695)*1</f>
        <v>83</v>
      </c>
      <c r="G1695" s="79">
        <f t="shared" ref="G1695" si="2219">C1695+D1695+F1695+E1695</f>
        <v>5978.9999999999854</v>
      </c>
      <c r="H1695" s="199"/>
      <c r="I1695" s="199"/>
      <c r="J1695" s="200"/>
      <c r="K1695" s="201"/>
      <c r="L1695" s="276"/>
      <c r="M1695" s="276"/>
      <c r="N1695" s="235">
        <v>248037</v>
      </c>
      <c r="O1695" s="235">
        <v>121297</v>
      </c>
      <c r="P1695" s="235">
        <v>27098</v>
      </c>
      <c r="Q1695" s="235"/>
      <c r="R1695" s="235">
        <v>47296</v>
      </c>
      <c r="S1695" s="236">
        <v>4612</v>
      </c>
      <c r="T1695" s="236">
        <v>373.4</v>
      </c>
      <c r="U1695" s="236"/>
      <c r="V1695" s="235">
        <v>371081</v>
      </c>
      <c r="W1695" s="235">
        <v>138804</v>
      </c>
      <c r="X1695" s="235">
        <v>127347</v>
      </c>
      <c r="Y1695" s="235">
        <v>92778</v>
      </c>
      <c r="Z1695" s="235">
        <v>243434</v>
      </c>
    </row>
    <row r="1696" spans="1:26" ht="18" customHeight="1" x14ac:dyDescent="0.2">
      <c r="A1696" s="279">
        <f t="shared" si="2099"/>
        <v>44547</v>
      </c>
      <c r="B1696" s="278" t="s">
        <v>189</v>
      </c>
      <c r="C1696" s="48">
        <f t="shared" ref="C1696:C1698" si="2220">(V1697-V1696)*1+(W1697-W1696)*32+(X1697-X1696)*12+(Y1697-Y1696)*6</f>
        <v>0</v>
      </c>
      <c r="D1696" s="84">
        <f t="shared" si="2144"/>
        <v>0</v>
      </c>
      <c r="E1696" s="45">
        <f t="shared" si="2154"/>
        <v>0</v>
      </c>
      <c r="F1696" s="45">
        <f t="shared" ref="F1696:F1698" si="2221">(Z1697-Z1696)*1</f>
        <v>0</v>
      </c>
      <c r="G1696" s="79">
        <f t="shared" ref="G1696:G1698" si="2222">C1696+D1696+F1696+E1696</f>
        <v>0</v>
      </c>
      <c r="H1696" s="199"/>
      <c r="I1696" s="199"/>
      <c r="J1696" s="200"/>
      <c r="K1696" s="201"/>
      <c r="L1696" s="276"/>
      <c r="M1696" s="276"/>
      <c r="N1696" s="235">
        <v>248167</v>
      </c>
      <c r="O1696" s="235">
        <v>121345</v>
      </c>
      <c r="P1696" s="235">
        <v>27264</v>
      </c>
      <c r="Q1696" s="235"/>
      <c r="R1696" s="235">
        <v>47296</v>
      </c>
      <c r="S1696" s="236">
        <v>4629.2</v>
      </c>
      <c r="T1696" s="236">
        <v>378.7</v>
      </c>
      <c r="U1696" s="236"/>
      <c r="V1696" s="235">
        <v>371229</v>
      </c>
      <c r="W1696" s="235">
        <v>138836</v>
      </c>
      <c r="X1696" s="235">
        <v>127411</v>
      </c>
      <c r="Y1696" s="235">
        <v>92778</v>
      </c>
      <c r="Z1696" s="235">
        <v>243517</v>
      </c>
    </row>
    <row r="1697" spans="1:26" ht="18" customHeight="1" x14ac:dyDescent="0.2">
      <c r="A1697" s="279">
        <f t="shared" si="2099"/>
        <v>44548</v>
      </c>
      <c r="B1697" s="279" t="s">
        <v>195</v>
      </c>
      <c r="C1697" s="48">
        <f t="shared" si="2220"/>
        <v>0</v>
      </c>
      <c r="D1697" s="84">
        <f t="shared" si="2144"/>
        <v>0</v>
      </c>
      <c r="E1697" s="45">
        <f t="shared" si="2154"/>
        <v>0</v>
      </c>
      <c r="F1697" s="45">
        <f t="shared" si="2221"/>
        <v>0</v>
      </c>
      <c r="G1697" s="79">
        <f t="shared" si="2222"/>
        <v>0</v>
      </c>
      <c r="H1697" s="199"/>
      <c r="I1697" s="199"/>
      <c r="J1697" s="200"/>
      <c r="K1697" s="201"/>
      <c r="L1697" s="276"/>
      <c r="M1697" s="276"/>
      <c r="N1697" s="288">
        <v>248167</v>
      </c>
      <c r="O1697" s="288">
        <v>121345</v>
      </c>
      <c r="P1697" s="288">
        <v>27264</v>
      </c>
      <c r="Q1697" s="288"/>
      <c r="R1697" s="288">
        <v>47296</v>
      </c>
      <c r="S1697" s="289">
        <v>4629.2</v>
      </c>
      <c r="T1697" s="289">
        <v>378.7</v>
      </c>
      <c r="U1697" s="289"/>
      <c r="V1697" s="288">
        <v>371229</v>
      </c>
      <c r="W1697" s="288">
        <v>138836</v>
      </c>
      <c r="X1697" s="288">
        <v>127411</v>
      </c>
      <c r="Y1697" s="288">
        <v>92778</v>
      </c>
      <c r="Z1697" s="288">
        <v>243517</v>
      </c>
    </row>
    <row r="1698" spans="1:26" ht="18" customHeight="1" x14ac:dyDescent="0.2">
      <c r="A1698" s="279">
        <f t="shared" si="2099"/>
        <v>44549</v>
      </c>
      <c r="B1698" s="278" t="s">
        <v>190</v>
      </c>
      <c r="C1698" s="48">
        <f t="shared" si="2220"/>
        <v>2771</v>
      </c>
      <c r="D1698" s="84">
        <f t="shared" si="2144"/>
        <v>6616</v>
      </c>
      <c r="E1698" s="45">
        <f t="shared" ref="E1698:E1709" si="2223">(S1699-S1698)*80+(T1699-T1698)*40</f>
        <v>2275.9999999999854</v>
      </c>
      <c r="F1698" s="45">
        <f t="shared" si="2221"/>
        <v>350</v>
      </c>
      <c r="G1698" s="79">
        <f t="shared" si="2222"/>
        <v>12012.999999999985</v>
      </c>
      <c r="H1698" s="199"/>
      <c r="I1698" s="199"/>
      <c r="J1698" s="200"/>
      <c r="K1698" s="201"/>
      <c r="L1698" s="276"/>
      <c r="M1698" s="276"/>
      <c r="N1698" s="288">
        <v>248167</v>
      </c>
      <c r="O1698" s="288">
        <v>121345</v>
      </c>
      <c r="P1698" s="288">
        <v>27264</v>
      </c>
      <c r="Q1698" s="288"/>
      <c r="R1698" s="288">
        <v>47296</v>
      </c>
      <c r="S1698" s="289">
        <v>4629.2</v>
      </c>
      <c r="T1698" s="289">
        <v>378.7</v>
      </c>
      <c r="U1698" s="289"/>
      <c r="V1698" s="288">
        <v>371229</v>
      </c>
      <c r="W1698" s="288">
        <v>138836</v>
      </c>
      <c r="X1698" s="288">
        <v>127411</v>
      </c>
      <c r="Y1698" s="288">
        <v>92778</v>
      </c>
      <c r="Z1698" s="288">
        <v>243517</v>
      </c>
    </row>
    <row r="1699" spans="1:26" ht="18" customHeight="1" x14ac:dyDescent="0.2">
      <c r="A1699" s="279">
        <f t="shared" si="2099"/>
        <v>44550</v>
      </c>
      <c r="B1699" s="280" t="s">
        <v>191</v>
      </c>
      <c r="C1699" s="48">
        <f t="shared" ref="C1699" si="2224">(V1700-V1699)*1+(W1700-W1699)*32+(X1700-X1699)*12+(Y1700-Y1699)*6</f>
        <v>2101</v>
      </c>
      <c r="D1699" s="84">
        <f t="shared" si="2144"/>
        <v>1560</v>
      </c>
      <c r="E1699" s="45">
        <f t="shared" si="2223"/>
        <v>1544.0000000000146</v>
      </c>
      <c r="F1699" s="45">
        <f t="shared" ref="F1699" si="2225">(Z1700-Z1699)*1</f>
        <v>109</v>
      </c>
      <c r="G1699" s="79">
        <f t="shared" ref="G1699" si="2226">C1699+D1699+F1699+E1699</f>
        <v>5314.0000000000146</v>
      </c>
      <c r="H1699" s="199"/>
      <c r="I1699" s="199"/>
      <c r="J1699" s="200"/>
      <c r="K1699" s="201"/>
      <c r="L1699" s="276"/>
      <c r="M1699" s="276"/>
      <c r="N1699" s="235">
        <v>248467</v>
      </c>
      <c r="O1699" s="235">
        <v>121467</v>
      </c>
      <c r="P1699" s="235">
        <v>27791</v>
      </c>
      <c r="Q1699" s="235"/>
      <c r="R1699" s="235">
        <v>47296</v>
      </c>
      <c r="S1699" s="236">
        <v>4649.8999999999996</v>
      </c>
      <c r="T1699" s="236">
        <v>394.2</v>
      </c>
      <c r="U1699" s="236"/>
      <c r="V1699" s="235">
        <v>371592</v>
      </c>
      <c r="W1699" s="235">
        <v>138885</v>
      </c>
      <c r="X1699" s="235">
        <v>127481</v>
      </c>
      <c r="Y1699" s="235">
        <v>92778</v>
      </c>
      <c r="Z1699" s="235">
        <v>243867</v>
      </c>
    </row>
    <row r="1700" spans="1:26" ht="18" customHeight="1" x14ac:dyDescent="0.2">
      <c r="A1700" s="279">
        <f t="shared" si="2099"/>
        <v>44551</v>
      </c>
      <c r="B1700" s="280" t="s">
        <v>192</v>
      </c>
      <c r="C1700" s="48">
        <f t="shared" ref="C1700" si="2227">(V1701-V1700)*1+(W1701-W1700)*32+(X1701-X1700)*12+(Y1701-Y1700)*6</f>
        <v>2056</v>
      </c>
      <c r="D1700" s="84">
        <f t="shared" si="2144"/>
        <v>3056</v>
      </c>
      <c r="E1700" s="45">
        <f t="shared" si="2223"/>
        <v>1436.000000000015</v>
      </c>
      <c r="F1700" s="45">
        <f t="shared" ref="F1700" si="2228">(Z1701-Z1700)*1</f>
        <v>97</v>
      </c>
      <c r="G1700" s="79">
        <f t="shared" ref="G1700" si="2229">C1700+D1700+F1700+E1700</f>
        <v>6645.0000000000146</v>
      </c>
      <c r="H1700" s="199"/>
      <c r="I1700" s="199"/>
      <c r="J1700" s="200"/>
      <c r="K1700" s="201"/>
      <c r="L1700" s="276"/>
      <c r="M1700" s="276"/>
      <c r="N1700" s="235">
        <v>248567</v>
      </c>
      <c r="O1700" s="235">
        <v>121527</v>
      </c>
      <c r="P1700" s="235">
        <v>27886</v>
      </c>
      <c r="Q1700" s="235"/>
      <c r="R1700" s="235">
        <v>47296</v>
      </c>
      <c r="S1700" s="236">
        <v>4666.2</v>
      </c>
      <c r="T1700" s="236">
        <v>400.2</v>
      </c>
      <c r="U1700" s="236"/>
      <c r="V1700" s="235">
        <v>371741</v>
      </c>
      <c r="W1700" s="235">
        <v>138919</v>
      </c>
      <c r="X1700" s="235">
        <v>127553</v>
      </c>
      <c r="Y1700" s="235">
        <v>92778</v>
      </c>
      <c r="Z1700" s="235">
        <v>243976</v>
      </c>
    </row>
    <row r="1701" spans="1:26" ht="18" customHeight="1" x14ac:dyDescent="0.2">
      <c r="A1701" s="279">
        <f t="shared" si="2099"/>
        <v>44552</v>
      </c>
      <c r="B1701" s="280" t="s">
        <v>193</v>
      </c>
      <c r="C1701" s="48">
        <f t="shared" ref="C1701" si="2230">(V1702-V1701)*1+(W1702-W1701)*32+(X1702-X1701)*12+(Y1702-Y1701)*6</f>
        <v>1987</v>
      </c>
      <c r="D1701" s="84">
        <f t="shared" si="2144"/>
        <v>3488</v>
      </c>
      <c r="E1701" s="45">
        <f t="shared" si="2223"/>
        <v>1592.00000000003</v>
      </c>
      <c r="F1701" s="45">
        <f t="shared" ref="F1701" si="2231">(Z1702-Z1701)*1</f>
        <v>117</v>
      </c>
      <c r="G1701" s="79">
        <f t="shared" ref="G1701" si="2232">C1701+D1701+F1701+E1701</f>
        <v>7184.00000000003</v>
      </c>
      <c r="H1701" s="199"/>
      <c r="I1701" s="199"/>
      <c r="J1701" s="200"/>
      <c r="K1701" s="201"/>
      <c r="L1701" s="276"/>
      <c r="M1701" s="276"/>
      <c r="N1701" s="235">
        <v>248657</v>
      </c>
      <c r="O1701" s="235">
        <v>121580</v>
      </c>
      <c r="P1701" s="235">
        <v>28178</v>
      </c>
      <c r="Q1701" s="235"/>
      <c r="R1701" s="235">
        <v>47296</v>
      </c>
      <c r="S1701" s="236">
        <v>4682</v>
      </c>
      <c r="T1701" s="236">
        <v>404.5</v>
      </c>
      <c r="U1701" s="236"/>
      <c r="V1701" s="235">
        <v>371909</v>
      </c>
      <c r="W1701" s="235">
        <v>138951</v>
      </c>
      <c r="X1701" s="235">
        <v>127625</v>
      </c>
      <c r="Y1701" s="235">
        <v>92778</v>
      </c>
      <c r="Z1701" s="235">
        <v>244073</v>
      </c>
    </row>
    <row r="1702" spans="1:26" ht="18" customHeight="1" x14ac:dyDescent="0.2">
      <c r="A1702" s="279">
        <f t="shared" si="2099"/>
        <v>44553</v>
      </c>
      <c r="B1702" s="280" t="s">
        <v>194</v>
      </c>
      <c r="C1702" s="48">
        <f t="shared" ref="C1702" si="2233">(V1703-V1702)*1+(W1703-W1702)*32+(X1703-X1702)*12+(Y1703-Y1702)*6</f>
        <v>2082</v>
      </c>
      <c r="D1702" s="84">
        <f t="shared" si="2144"/>
        <v>2328</v>
      </c>
      <c r="E1702" s="45">
        <f t="shared" si="2223"/>
        <v>1667.9999999999995</v>
      </c>
      <c r="F1702" s="45">
        <f t="shared" ref="F1702" si="2234">(Z1703-Z1702)*1</f>
        <v>20</v>
      </c>
      <c r="G1702" s="79">
        <f t="shared" ref="G1702" si="2235">C1702+D1702+F1702+E1702</f>
        <v>6098</v>
      </c>
      <c r="H1702" s="199"/>
      <c r="I1702" s="199"/>
      <c r="J1702" s="200"/>
      <c r="K1702" s="201"/>
      <c r="L1702" s="276"/>
      <c r="M1702" s="276"/>
      <c r="N1702" s="235">
        <v>248905</v>
      </c>
      <c r="O1702" s="235">
        <v>121635</v>
      </c>
      <c r="P1702" s="235">
        <v>28366</v>
      </c>
      <c r="Q1702" s="235"/>
      <c r="R1702" s="235">
        <v>47296</v>
      </c>
      <c r="S1702" s="236">
        <v>4699.6000000000004</v>
      </c>
      <c r="T1702" s="236">
        <v>409.1</v>
      </c>
      <c r="U1702" s="236"/>
      <c r="V1702" s="235">
        <v>372064</v>
      </c>
      <c r="W1702" s="235">
        <v>138982</v>
      </c>
      <c r="X1702" s="235">
        <v>127695</v>
      </c>
      <c r="Y1702" s="235">
        <v>92778</v>
      </c>
      <c r="Z1702" s="235">
        <v>244190</v>
      </c>
    </row>
    <row r="1703" spans="1:26" ht="18" customHeight="1" x14ac:dyDescent="0.2">
      <c r="A1703" s="279">
        <f t="shared" si="2099"/>
        <v>44554</v>
      </c>
      <c r="B1703" s="278" t="s">
        <v>189</v>
      </c>
      <c r="C1703" s="48">
        <f t="shared" ref="C1703:C1705" si="2236">(V1704-V1703)*1+(W1704-W1703)*32+(X1704-X1703)*12+(Y1704-Y1703)*6</f>
        <v>0</v>
      </c>
      <c r="D1703" s="84">
        <f t="shared" si="2144"/>
        <v>0</v>
      </c>
      <c r="E1703" s="45">
        <f t="shared" si="2223"/>
        <v>0</v>
      </c>
      <c r="F1703" s="45">
        <f t="shared" ref="F1703:F1705" si="2237">(Z1704-Z1703)*1</f>
        <v>0</v>
      </c>
      <c r="G1703" s="79">
        <f t="shared" ref="G1703:G1705" si="2238">C1703+D1703+F1703+E1703</f>
        <v>0</v>
      </c>
      <c r="H1703" s="199"/>
      <c r="I1703" s="199"/>
      <c r="J1703" s="200"/>
      <c r="K1703" s="201"/>
      <c r="L1703" s="276"/>
      <c r="M1703" s="276"/>
      <c r="N1703" s="235">
        <v>249017</v>
      </c>
      <c r="O1703" s="235">
        <v>121690</v>
      </c>
      <c r="P1703" s="235">
        <v>28545</v>
      </c>
      <c r="Q1703" s="235"/>
      <c r="R1703" s="235">
        <v>47296</v>
      </c>
      <c r="S1703" s="236">
        <v>4716.6000000000004</v>
      </c>
      <c r="T1703" s="236">
        <v>416.8</v>
      </c>
      <c r="U1703" s="236"/>
      <c r="V1703" s="235">
        <v>372214</v>
      </c>
      <c r="W1703" s="235">
        <v>139015</v>
      </c>
      <c r="X1703" s="235">
        <v>127768</v>
      </c>
      <c r="Y1703" s="235">
        <v>92778</v>
      </c>
      <c r="Z1703" s="235">
        <v>244210</v>
      </c>
    </row>
    <row r="1704" spans="1:26" ht="18" customHeight="1" x14ac:dyDescent="0.2">
      <c r="A1704" s="279">
        <f t="shared" ref="A1704:A1767" si="2239">A1703+1</f>
        <v>44555</v>
      </c>
      <c r="B1704" s="279" t="s">
        <v>195</v>
      </c>
      <c r="C1704" s="48">
        <f t="shared" si="2236"/>
        <v>0</v>
      </c>
      <c r="D1704" s="84">
        <f t="shared" si="2144"/>
        <v>0</v>
      </c>
      <c r="E1704" s="45">
        <f t="shared" si="2223"/>
        <v>0</v>
      </c>
      <c r="F1704" s="45">
        <f t="shared" si="2237"/>
        <v>0</v>
      </c>
      <c r="G1704" s="79">
        <f t="shared" si="2238"/>
        <v>0</v>
      </c>
      <c r="H1704" s="199"/>
      <c r="I1704" s="199"/>
      <c r="J1704" s="200"/>
      <c r="K1704" s="201"/>
      <c r="L1704" s="276"/>
      <c r="M1704" s="276"/>
      <c r="N1704" s="153">
        <v>249017</v>
      </c>
      <c r="O1704" s="153">
        <v>121690</v>
      </c>
      <c r="P1704" s="153">
        <v>28545</v>
      </c>
      <c r="Q1704" s="153"/>
      <c r="R1704" s="153">
        <v>47296</v>
      </c>
      <c r="S1704" s="154">
        <v>4716.6000000000004</v>
      </c>
      <c r="T1704" s="154">
        <v>416.8</v>
      </c>
      <c r="U1704" s="154"/>
      <c r="V1704" s="153">
        <v>372214</v>
      </c>
      <c r="W1704" s="153">
        <v>139015</v>
      </c>
      <c r="X1704" s="153">
        <v>127768</v>
      </c>
      <c r="Y1704" s="153">
        <v>92778</v>
      </c>
      <c r="Z1704" s="153">
        <v>244210</v>
      </c>
    </row>
    <row r="1705" spans="1:26" ht="18" customHeight="1" x14ac:dyDescent="0.2">
      <c r="A1705" s="279">
        <f t="shared" si="2239"/>
        <v>44556</v>
      </c>
      <c r="B1705" s="278" t="s">
        <v>190</v>
      </c>
      <c r="C1705" s="48">
        <f t="shared" si="2236"/>
        <v>2498</v>
      </c>
      <c r="D1705" s="84">
        <f t="shared" si="2144"/>
        <v>6735</v>
      </c>
      <c r="E1705" s="45">
        <f t="shared" si="2223"/>
        <v>2855.9999999999991</v>
      </c>
      <c r="F1705" s="45">
        <f t="shared" si="2237"/>
        <v>462</v>
      </c>
      <c r="G1705" s="79">
        <f t="shared" si="2238"/>
        <v>12551</v>
      </c>
      <c r="H1705" s="199"/>
      <c r="I1705" s="199"/>
      <c r="J1705" s="200"/>
      <c r="K1705" s="201"/>
      <c r="L1705" s="276"/>
      <c r="M1705" s="276"/>
      <c r="N1705" s="153">
        <v>249017</v>
      </c>
      <c r="O1705" s="153">
        <v>121690</v>
      </c>
      <c r="P1705" s="153">
        <v>28545</v>
      </c>
      <c r="Q1705" s="153"/>
      <c r="R1705" s="153">
        <v>47296</v>
      </c>
      <c r="S1705" s="154">
        <v>4716.6000000000004</v>
      </c>
      <c r="T1705" s="154">
        <v>416.8</v>
      </c>
      <c r="U1705" s="154"/>
      <c r="V1705" s="153">
        <v>372214</v>
      </c>
      <c r="W1705" s="153">
        <v>139015</v>
      </c>
      <c r="X1705" s="153">
        <v>127768</v>
      </c>
      <c r="Y1705" s="153">
        <v>92778</v>
      </c>
      <c r="Z1705" s="153">
        <v>244210</v>
      </c>
    </row>
    <row r="1706" spans="1:26" ht="18" customHeight="1" x14ac:dyDescent="0.2">
      <c r="A1706" s="279">
        <f t="shared" si="2239"/>
        <v>44557</v>
      </c>
      <c r="B1706" s="280" t="s">
        <v>191</v>
      </c>
      <c r="C1706" s="48">
        <f t="shared" ref="C1706" si="2240">(V1707-V1706)*1+(W1707-W1706)*32+(X1707-X1706)*12+(Y1707-Y1706)*6</f>
        <v>2282</v>
      </c>
      <c r="D1706" s="84">
        <f t="shared" si="2144"/>
        <v>2969</v>
      </c>
      <c r="E1706" s="45">
        <f t="shared" si="2223"/>
        <v>1992.0000000000005</v>
      </c>
      <c r="F1706" s="45">
        <f t="shared" ref="F1706" si="2241">(Z1707-Z1706)*1</f>
        <v>149</v>
      </c>
      <c r="G1706" s="79">
        <f t="shared" ref="G1706" si="2242">C1706+D1706+F1706+E1706</f>
        <v>7392</v>
      </c>
      <c r="H1706" s="199"/>
      <c r="I1706" s="199"/>
      <c r="J1706" s="200"/>
      <c r="K1706" s="201"/>
      <c r="L1706" s="276"/>
      <c r="M1706" s="276"/>
      <c r="N1706" s="235">
        <v>249387</v>
      </c>
      <c r="O1706" s="235">
        <v>121834</v>
      </c>
      <c r="P1706" s="235">
        <v>29017</v>
      </c>
      <c r="Q1706" s="235"/>
      <c r="R1706" s="235">
        <v>47295</v>
      </c>
      <c r="S1706" s="236">
        <v>4744.6000000000004</v>
      </c>
      <c r="T1706" s="236">
        <v>432.2</v>
      </c>
      <c r="U1706" s="236"/>
      <c r="V1706" s="235">
        <v>372612</v>
      </c>
      <c r="W1706" s="235">
        <v>139063</v>
      </c>
      <c r="X1706" s="235">
        <v>127815</v>
      </c>
      <c r="Y1706" s="235">
        <v>92778</v>
      </c>
      <c r="Z1706" s="235">
        <v>244672</v>
      </c>
    </row>
    <row r="1707" spans="1:26" ht="18" customHeight="1" x14ac:dyDescent="0.2">
      <c r="A1707" s="279">
        <f t="shared" si="2239"/>
        <v>44558</v>
      </c>
      <c r="B1707" s="280" t="s">
        <v>192</v>
      </c>
      <c r="C1707" s="48">
        <f t="shared" ref="C1707:C1708" si="2243">(V1708-V1707)*1+(W1708-W1707)*32+(X1708-X1707)*12+(Y1708-Y1707)*6</f>
        <v>0</v>
      </c>
      <c r="D1707" s="84">
        <f t="shared" si="2144"/>
        <v>0</v>
      </c>
      <c r="E1707" s="45">
        <f t="shared" si="2223"/>
        <v>0</v>
      </c>
      <c r="F1707" s="45">
        <f t="shared" ref="F1707:F1708" si="2244">(Z1708-Z1707)*1</f>
        <v>0</v>
      </c>
      <c r="G1707" s="79">
        <f t="shared" ref="G1707:G1708" si="2245">C1707+D1707+F1707+E1707</f>
        <v>0</v>
      </c>
      <c r="H1707" s="199"/>
      <c r="I1707" s="199"/>
      <c r="J1707" s="200"/>
      <c r="K1707" s="201"/>
      <c r="L1707" s="276"/>
      <c r="M1707" s="276"/>
      <c r="N1707" s="235">
        <v>249567</v>
      </c>
      <c r="O1707" s="235">
        <v>121891</v>
      </c>
      <c r="P1707" s="235">
        <v>29208</v>
      </c>
      <c r="Q1707" s="235"/>
      <c r="R1707" s="235">
        <v>47296</v>
      </c>
      <c r="S1707" s="236">
        <v>4764.6000000000004</v>
      </c>
      <c r="T1707" s="236">
        <v>442</v>
      </c>
      <c r="U1707" s="236"/>
      <c r="V1707" s="235">
        <v>372790</v>
      </c>
      <c r="W1707" s="235">
        <v>139095</v>
      </c>
      <c r="X1707" s="235">
        <v>127905</v>
      </c>
      <c r="Y1707" s="235">
        <v>92778</v>
      </c>
      <c r="Z1707" s="235">
        <v>244821</v>
      </c>
    </row>
    <row r="1708" spans="1:26" ht="18" customHeight="1" x14ac:dyDescent="0.2">
      <c r="A1708" s="279">
        <f t="shared" si="2239"/>
        <v>44559</v>
      </c>
      <c r="B1708" s="280" t="s">
        <v>193</v>
      </c>
      <c r="C1708" s="48">
        <f t="shared" si="2243"/>
        <v>4223</v>
      </c>
      <c r="D1708" s="84">
        <f t="shared" si="2144"/>
        <v>5304</v>
      </c>
      <c r="E1708" s="45">
        <f t="shared" si="2223"/>
        <v>3815.9999999999991</v>
      </c>
      <c r="F1708" s="45">
        <f t="shared" si="2244"/>
        <v>239</v>
      </c>
      <c r="G1708" s="79">
        <f t="shared" si="2245"/>
        <v>13582</v>
      </c>
      <c r="H1708" s="199"/>
      <c r="I1708" s="199"/>
      <c r="J1708" s="200"/>
      <c r="K1708" s="201"/>
      <c r="L1708" s="276"/>
      <c r="M1708" s="276"/>
      <c r="N1708" s="153">
        <v>249567</v>
      </c>
      <c r="O1708" s="153">
        <v>121891</v>
      </c>
      <c r="P1708" s="153">
        <v>29208</v>
      </c>
      <c r="Q1708" s="153"/>
      <c r="R1708" s="153">
        <v>47296</v>
      </c>
      <c r="S1708" s="154">
        <v>4764.6000000000004</v>
      </c>
      <c r="T1708" s="154">
        <v>442</v>
      </c>
      <c r="U1708" s="154"/>
      <c r="V1708" s="153">
        <v>372790</v>
      </c>
      <c r="W1708" s="153">
        <v>139095</v>
      </c>
      <c r="X1708" s="153">
        <v>127905</v>
      </c>
      <c r="Y1708" s="153">
        <v>92778</v>
      </c>
      <c r="Z1708" s="153">
        <v>244821</v>
      </c>
    </row>
    <row r="1709" spans="1:26" ht="18" customHeight="1" x14ac:dyDescent="0.2">
      <c r="A1709" s="279">
        <f t="shared" si="2239"/>
        <v>44560</v>
      </c>
      <c r="B1709" s="280" t="s">
        <v>194</v>
      </c>
      <c r="C1709" s="48">
        <f t="shared" ref="C1709:C1712" si="2246">(V1710-V1709)*1+(W1710-W1709)*32+(X1710-X1709)*12+(Y1710-Y1709)*6</f>
        <v>0</v>
      </c>
      <c r="D1709" s="84">
        <f t="shared" si="2144"/>
        <v>0</v>
      </c>
      <c r="E1709" s="45">
        <f t="shared" si="2223"/>
        <v>0</v>
      </c>
      <c r="F1709" s="45">
        <f t="shared" ref="F1709:F1712" si="2247">(Z1710-Z1709)*1</f>
        <v>0</v>
      </c>
      <c r="G1709" s="79">
        <f t="shared" ref="G1709:G1712" si="2248">C1709+D1709+F1709+E1709</f>
        <v>0</v>
      </c>
      <c r="H1709" s="199"/>
      <c r="I1709" s="199"/>
      <c r="J1709" s="200"/>
      <c r="K1709" s="201"/>
      <c r="L1709" s="276"/>
      <c r="M1709" s="276"/>
      <c r="N1709" s="235">
        <v>249857</v>
      </c>
      <c r="O1709" s="235">
        <v>122002</v>
      </c>
      <c r="P1709" s="235">
        <v>29581</v>
      </c>
      <c r="Q1709" s="235"/>
      <c r="R1709" s="235">
        <v>47296</v>
      </c>
      <c r="S1709" s="236">
        <v>4803.1000000000004</v>
      </c>
      <c r="T1709" s="236">
        <v>460.4</v>
      </c>
      <c r="U1709" s="236"/>
      <c r="V1709" s="235">
        <v>373105</v>
      </c>
      <c r="W1709" s="235">
        <v>139159</v>
      </c>
      <c r="X1709" s="235">
        <v>128060</v>
      </c>
      <c r="Y1709" s="235">
        <v>92778</v>
      </c>
      <c r="Z1709" s="235">
        <v>245060</v>
      </c>
    </row>
    <row r="1710" spans="1:26" ht="18" customHeight="1" x14ac:dyDescent="0.2">
      <c r="A1710" s="279">
        <f t="shared" si="2239"/>
        <v>44561</v>
      </c>
      <c r="B1710" s="278" t="s">
        <v>189</v>
      </c>
      <c r="C1710" s="48">
        <v>0</v>
      </c>
      <c r="D1710" s="48">
        <v>0</v>
      </c>
      <c r="E1710" s="48">
        <v>0</v>
      </c>
      <c r="F1710" s="48">
        <v>0</v>
      </c>
      <c r="G1710" s="48">
        <v>0</v>
      </c>
      <c r="H1710" s="199"/>
      <c r="I1710" s="199"/>
      <c r="J1710" s="200"/>
      <c r="K1710" s="201"/>
      <c r="L1710" s="276"/>
      <c r="M1710" s="276"/>
      <c r="N1710" s="153">
        <v>249857</v>
      </c>
      <c r="O1710" s="153">
        <v>122002</v>
      </c>
      <c r="P1710" s="153">
        <v>29581</v>
      </c>
      <c r="Q1710" s="153"/>
      <c r="R1710" s="153">
        <v>47296</v>
      </c>
      <c r="S1710" s="154">
        <v>4803.1000000000004</v>
      </c>
      <c r="T1710" s="154">
        <v>460.4</v>
      </c>
      <c r="U1710" s="154"/>
      <c r="V1710" s="153">
        <v>373105</v>
      </c>
      <c r="W1710" s="153">
        <v>139159</v>
      </c>
      <c r="X1710" s="153">
        <v>128060</v>
      </c>
      <c r="Y1710" s="153">
        <v>92778</v>
      </c>
      <c r="Z1710" s="153">
        <v>245060</v>
      </c>
    </row>
    <row r="1711" spans="1:26" ht="18" customHeight="1" x14ac:dyDescent="0.2">
      <c r="A1711" s="279">
        <f t="shared" si="2239"/>
        <v>44562</v>
      </c>
      <c r="B1711" s="279" t="s">
        <v>195</v>
      </c>
      <c r="C1711" s="48">
        <f t="shared" si="2246"/>
        <v>0</v>
      </c>
      <c r="D1711" s="84">
        <f t="shared" ref="D1711:D1774" si="2249">(N1712-N1711)*8+(P1712-P1711)*8+(R1712-R1711)*1</f>
        <v>0</v>
      </c>
      <c r="E1711" s="45">
        <f t="shared" ref="E1711:E1774" si="2250">(S1712-S1711)*80+(T1712-T1711)*40</f>
        <v>0</v>
      </c>
      <c r="F1711" s="45">
        <f t="shared" si="2247"/>
        <v>0</v>
      </c>
      <c r="G1711" s="79">
        <f t="shared" si="2248"/>
        <v>0</v>
      </c>
      <c r="H1711" s="199"/>
      <c r="I1711" s="199"/>
      <c r="J1711" s="200"/>
      <c r="K1711" s="201"/>
      <c r="L1711" s="276"/>
      <c r="M1711" s="276"/>
      <c r="N1711" s="153">
        <v>49857</v>
      </c>
      <c r="O1711" s="153">
        <v>22022</v>
      </c>
      <c r="P1711" s="153">
        <v>29581</v>
      </c>
      <c r="Q1711" s="153"/>
      <c r="R1711" s="153">
        <v>47296</v>
      </c>
      <c r="S1711" s="154">
        <v>4803.1000000000004</v>
      </c>
      <c r="T1711" s="154">
        <v>460.4</v>
      </c>
      <c r="U1711" s="154"/>
      <c r="V1711" s="153">
        <v>73105</v>
      </c>
      <c r="W1711" s="153">
        <v>39159</v>
      </c>
      <c r="X1711" s="153">
        <v>28060</v>
      </c>
      <c r="Y1711" s="153">
        <v>92778</v>
      </c>
      <c r="Z1711" s="153">
        <v>45060</v>
      </c>
    </row>
    <row r="1712" spans="1:26" ht="18" customHeight="1" x14ac:dyDescent="0.2">
      <c r="A1712" s="279">
        <f t="shared" si="2239"/>
        <v>44563</v>
      </c>
      <c r="B1712" s="278" t="s">
        <v>190</v>
      </c>
      <c r="C1712" s="48">
        <f t="shared" si="2246"/>
        <v>3064</v>
      </c>
      <c r="D1712" s="84">
        <f t="shared" si="2249"/>
        <v>8520</v>
      </c>
      <c r="E1712" s="45">
        <f t="shared" si="2250"/>
        <v>4007.99999999997</v>
      </c>
      <c r="F1712" s="45">
        <f t="shared" si="2247"/>
        <v>415</v>
      </c>
      <c r="G1712" s="79">
        <f t="shared" si="2248"/>
        <v>16006.999999999971</v>
      </c>
      <c r="H1712" s="199"/>
      <c r="I1712" s="199"/>
      <c r="J1712" s="200"/>
      <c r="K1712" s="201"/>
      <c r="L1712" s="276"/>
      <c r="M1712" s="276"/>
      <c r="N1712" s="153">
        <v>49857</v>
      </c>
      <c r="O1712" s="153">
        <v>22022</v>
      </c>
      <c r="P1712" s="153">
        <v>29581</v>
      </c>
      <c r="Q1712" s="153"/>
      <c r="R1712" s="153">
        <v>47296</v>
      </c>
      <c r="S1712" s="154">
        <v>4803.1000000000004</v>
      </c>
      <c r="T1712" s="154">
        <v>460.4</v>
      </c>
      <c r="U1712" s="154"/>
      <c r="V1712" s="153">
        <v>73105</v>
      </c>
      <c r="W1712" s="153">
        <v>39159</v>
      </c>
      <c r="X1712" s="153">
        <v>28060</v>
      </c>
      <c r="Y1712" s="153">
        <v>92778</v>
      </c>
      <c r="Z1712" s="153">
        <v>45060</v>
      </c>
    </row>
    <row r="1713" spans="1:26" ht="18" customHeight="1" x14ac:dyDescent="0.2">
      <c r="A1713" s="279">
        <f t="shared" si="2239"/>
        <v>44564</v>
      </c>
      <c r="B1713" s="280" t="s">
        <v>191</v>
      </c>
      <c r="C1713" s="48">
        <f t="shared" ref="C1713" si="2251">(V1714-V1713)*1+(W1714-W1713)*32+(X1714-X1713)*12+(Y1714-Y1713)*6</f>
        <v>2178</v>
      </c>
      <c r="D1713" s="84">
        <f t="shared" si="2249"/>
        <v>2608</v>
      </c>
      <c r="E1713" s="45">
        <f t="shared" si="2250"/>
        <v>1867.9999999999882</v>
      </c>
      <c r="F1713" s="45">
        <f t="shared" ref="F1713" si="2252">(Z1714-Z1713)*1</f>
        <v>114</v>
      </c>
      <c r="G1713" s="79">
        <f t="shared" ref="G1713" si="2253">C1713+D1713+F1713+E1713</f>
        <v>6767.9999999999882</v>
      </c>
      <c r="H1713" s="199"/>
      <c r="I1713" s="199"/>
      <c r="J1713" s="200"/>
      <c r="K1713" s="201"/>
      <c r="L1713" s="276"/>
      <c r="M1713" s="276"/>
      <c r="N1713" s="235">
        <v>50357</v>
      </c>
      <c r="O1713" s="235">
        <v>22194</v>
      </c>
      <c r="P1713" s="235">
        <v>30146</v>
      </c>
      <c r="Q1713" s="235"/>
      <c r="R1713" s="235">
        <v>47296</v>
      </c>
      <c r="S1713" s="236">
        <v>4826</v>
      </c>
      <c r="T1713" s="236">
        <v>514.79999999999995</v>
      </c>
      <c r="U1713" s="236"/>
      <c r="V1713" s="235">
        <v>73557</v>
      </c>
      <c r="W1713" s="235">
        <v>39214</v>
      </c>
      <c r="X1713" s="235">
        <v>28131</v>
      </c>
      <c r="Y1713" s="235">
        <v>92778</v>
      </c>
      <c r="Z1713" s="235">
        <v>45475</v>
      </c>
    </row>
    <row r="1714" spans="1:26" ht="18" customHeight="1" x14ac:dyDescent="0.2">
      <c r="A1714" s="279">
        <f t="shared" si="2239"/>
        <v>44565</v>
      </c>
      <c r="B1714" s="280" t="s">
        <v>192</v>
      </c>
      <c r="C1714" s="48">
        <f t="shared" ref="C1714" si="2254">(V1715-V1714)*1+(W1715-W1714)*32+(X1715-X1714)*12+(Y1715-Y1714)*6</f>
        <v>2094</v>
      </c>
      <c r="D1714" s="84">
        <f t="shared" si="2249"/>
        <v>2672</v>
      </c>
      <c r="E1714" s="45">
        <f t="shared" si="2250"/>
        <v>1539.9999999999864</v>
      </c>
      <c r="F1714" s="45">
        <f t="shared" ref="F1714" si="2255">(Z1715-Z1714)*1</f>
        <v>130</v>
      </c>
      <c r="G1714" s="79">
        <f t="shared" ref="G1714" si="2256">C1714+D1714+F1714+E1714</f>
        <v>6435.9999999999864</v>
      </c>
      <c r="H1714" s="199"/>
      <c r="I1714" s="199"/>
      <c r="J1714" s="200"/>
      <c r="K1714" s="201"/>
      <c r="L1714" s="276"/>
      <c r="M1714" s="276"/>
      <c r="N1714" s="235">
        <v>50497</v>
      </c>
      <c r="O1714" s="235">
        <v>22249</v>
      </c>
      <c r="P1714" s="235">
        <v>30332</v>
      </c>
      <c r="Q1714" s="235"/>
      <c r="R1714" s="235">
        <v>47296</v>
      </c>
      <c r="S1714" s="236">
        <v>4843.7</v>
      </c>
      <c r="T1714" s="236">
        <v>526.1</v>
      </c>
      <c r="U1714" s="236"/>
      <c r="V1714" s="235">
        <v>73723</v>
      </c>
      <c r="W1714" s="235">
        <v>39245</v>
      </c>
      <c r="X1714" s="235">
        <v>28216</v>
      </c>
      <c r="Y1714" s="235">
        <v>92778</v>
      </c>
      <c r="Z1714" s="235">
        <v>45589</v>
      </c>
    </row>
    <row r="1715" spans="1:26" ht="18" customHeight="1" x14ac:dyDescent="0.2">
      <c r="A1715" s="279">
        <f t="shared" si="2239"/>
        <v>44566</v>
      </c>
      <c r="B1715" s="280" t="s">
        <v>193</v>
      </c>
      <c r="C1715" s="48">
        <f t="shared" ref="C1715" si="2257">(V1716-V1715)*1+(W1716-W1715)*32+(X1716-X1715)*12+(Y1716-Y1715)*6</f>
        <v>1967</v>
      </c>
      <c r="D1715" s="84">
        <f t="shared" si="2249"/>
        <v>2368</v>
      </c>
      <c r="E1715" s="45">
        <f t="shared" si="2250"/>
        <v>1316.0000000000127</v>
      </c>
      <c r="F1715" s="45">
        <f t="shared" ref="F1715" si="2258">(Z1716-Z1715)*1</f>
        <v>124</v>
      </c>
      <c r="G1715" s="79">
        <f t="shared" ref="G1715" si="2259">C1715+D1715+F1715+E1715</f>
        <v>5775.0000000000127</v>
      </c>
      <c r="H1715" s="199"/>
      <c r="I1715" s="199"/>
      <c r="J1715" s="200"/>
      <c r="K1715" s="201"/>
      <c r="L1715" s="276"/>
      <c r="M1715" s="276"/>
      <c r="N1715" s="235">
        <v>50649</v>
      </c>
      <c r="O1715" s="235">
        <v>22304</v>
      </c>
      <c r="P1715" s="235">
        <v>30514</v>
      </c>
      <c r="Q1715" s="235"/>
      <c r="R1715" s="235">
        <v>47296</v>
      </c>
      <c r="S1715" s="236">
        <v>4858.8999999999996</v>
      </c>
      <c r="T1715" s="236">
        <v>534.20000000000005</v>
      </c>
      <c r="U1715" s="236"/>
      <c r="V1715" s="235">
        <v>73885</v>
      </c>
      <c r="W1715" s="235">
        <v>39275</v>
      </c>
      <c r="X1715" s="235">
        <v>28297</v>
      </c>
      <c r="Y1715" s="235">
        <v>92778</v>
      </c>
      <c r="Z1715" s="235">
        <v>45719</v>
      </c>
    </row>
    <row r="1716" spans="1:26" ht="18" customHeight="1" x14ac:dyDescent="0.2">
      <c r="A1716" s="279">
        <f t="shared" si="2239"/>
        <v>44567</v>
      </c>
      <c r="B1716" s="280" t="s">
        <v>194</v>
      </c>
      <c r="C1716" s="48">
        <f t="shared" ref="C1716:C1725" si="2260">(V1717-V1716)*1+(W1717-W1716)*32+(X1717-X1716)*12+(Y1717-Y1716)*6</f>
        <v>1961</v>
      </c>
      <c r="D1716" s="84">
        <f t="shared" si="2249"/>
        <v>2360</v>
      </c>
      <c r="E1716" s="45">
        <f t="shared" si="2250"/>
        <v>1555.9999999999854</v>
      </c>
      <c r="F1716" s="45">
        <f t="shared" ref="F1716:F1723" si="2261">(Z1717-Z1716)*1</f>
        <v>117</v>
      </c>
      <c r="G1716" s="79">
        <f t="shared" ref="G1716:G1723" si="2262">C1716+D1716+F1716+E1716</f>
        <v>5993.9999999999854</v>
      </c>
      <c r="H1716" s="199"/>
      <c r="I1716" s="199"/>
      <c r="J1716" s="200"/>
      <c r="K1716" s="201"/>
      <c r="L1716" s="276"/>
      <c r="M1716" s="276"/>
      <c r="N1716" s="235">
        <v>50777</v>
      </c>
      <c r="O1716" s="235">
        <v>22356</v>
      </c>
      <c r="P1716" s="235">
        <v>30682</v>
      </c>
      <c r="Q1716" s="235"/>
      <c r="R1716" s="235">
        <v>47296</v>
      </c>
      <c r="S1716" s="236">
        <v>4874.7</v>
      </c>
      <c r="T1716" s="236">
        <v>535.5</v>
      </c>
      <c r="U1716" s="236"/>
      <c r="V1716" s="235">
        <v>74044</v>
      </c>
      <c r="W1716" s="235">
        <v>39306</v>
      </c>
      <c r="X1716" s="235">
        <v>28365</v>
      </c>
      <c r="Y1716" s="235">
        <v>92778</v>
      </c>
      <c r="Z1716" s="235">
        <v>45843</v>
      </c>
    </row>
    <row r="1717" spans="1:26" ht="18" customHeight="1" x14ac:dyDescent="0.2">
      <c r="A1717" s="279">
        <f t="shared" si="2239"/>
        <v>44568</v>
      </c>
      <c r="B1717" s="278" t="s">
        <v>189</v>
      </c>
      <c r="C1717" s="48">
        <f t="shared" si="2260"/>
        <v>0</v>
      </c>
      <c r="D1717" s="84">
        <f t="shared" si="2249"/>
        <v>0</v>
      </c>
      <c r="E1717" s="45">
        <f t="shared" si="2250"/>
        <v>0</v>
      </c>
      <c r="F1717" s="45">
        <f t="shared" si="2261"/>
        <v>0</v>
      </c>
      <c r="G1717" s="79">
        <f t="shared" si="2262"/>
        <v>0</v>
      </c>
      <c r="H1717" s="199"/>
      <c r="I1717" s="199"/>
      <c r="J1717" s="200"/>
      <c r="K1717" s="201"/>
      <c r="L1717" s="276"/>
      <c r="M1717" s="276"/>
      <c r="N1717" s="235">
        <v>50877</v>
      </c>
      <c r="O1717" s="235">
        <v>22409</v>
      </c>
      <c r="P1717" s="235">
        <v>30877</v>
      </c>
      <c r="Q1717" s="235"/>
      <c r="R1717" s="235">
        <v>47296</v>
      </c>
      <c r="S1717" s="236">
        <v>4890.3999999999996</v>
      </c>
      <c r="T1717" s="236">
        <v>543</v>
      </c>
      <c r="U1717" s="236"/>
      <c r="V1717" s="235">
        <v>74205</v>
      </c>
      <c r="W1717" s="235">
        <v>39336</v>
      </c>
      <c r="X1717" s="235">
        <v>28435</v>
      </c>
      <c r="Y1717" s="235">
        <v>92778</v>
      </c>
      <c r="Z1717" s="235">
        <v>45960</v>
      </c>
    </row>
    <row r="1718" spans="1:26" ht="18" customHeight="1" x14ac:dyDescent="0.2">
      <c r="A1718" s="279">
        <f t="shared" si="2239"/>
        <v>44569</v>
      </c>
      <c r="B1718" s="279" t="s">
        <v>195</v>
      </c>
      <c r="C1718" s="48">
        <f t="shared" si="2260"/>
        <v>0</v>
      </c>
      <c r="D1718" s="84">
        <f t="shared" si="2249"/>
        <v>0</v>
      </c>
      <c r="E1718" s="45">
        <f t="shared" si="2250"/>
        <v>0</v>
      </c>
      <c r="F1718" s="45">
        <f t="shared" si="2261"/>
        <v>0</v>
      </c>
      <c r="G1718" s="79">
        <f t="shared" si="2262"/>
        <v>0</v>
      </c>
      <c r="H1718" s="199"/>
      <c r="I1718" s="199"/>
      <c r="J1718" s="200"/>
      <c r="K1718" s="201"/>
      <c r="L1718" s="276"/>
      <c r="M1718" s="276"/>
      <c r="N1718" s="292">
        <v>50877</v>
      </c>
      <c r="O1718" s="292">
        <v>22409</v>
      </c>
      <c r="P1718" s="292">
        <v>30877</v>
      </c>
      <c r="Q1718" s="292"/>
      <c r="R1718" s="292">
        <v>47296</v>
      </c>
      <c r="S1718" s="292">
        <v>4890.3999999999996</v>
      </c>
      <c r="T1718" s="292">
        <v>543</v>
      </c>
      <c r="U1718" s="292"/>
      <c r="V1718" s="292">
        <v>74205</v>
      </c>
      <c r="W1718" s="292">
        <v>39336</v>
      </c>
      <c r="X1718" s="292">
        <v>28435</v>
      </c>
      <c r="Y1718" s="292">
        <v>92778</v>
      </c>
      <c r="Z1718" s="292">
        <v>45960</v>
      </c>
    </row>
    <row r="1719" spans="1:26" ht="18" customHeight="1" x14ac:dyDescent="0.2">
      <c r="A1719" s="279">
        <f t="shared" si="2239"/>
        <v>44570</v>
      </c>
      <c r="B1719" s="278" t="s">
        <v>190</v>
      </c>
      <c r="C1719" s="48">
        <f t="shared" si="2260"/>
        <v>3044</v>
      </c>
      <c r="D1719" s="84">
        <f t="shared" si="2249"/>
        <v>5152</v>
      </c>
      <c r="E1719" s="45">
        <f t="shared" si="2250"/>
        <v>2124.0000000000418</v>
      </c>
      <c r="F1719" s="45">
        <f t="shared" si="2261"/>
        <v>390</v>
      </c>
      <c r="G1719" s="79">
        <f t="shared" si="2262"/>
        <v>10710.000000000042</v>
      </c>
      <c r="H1719" s="199"/>
      <c r="I1719" s="199"/>
      <c r="J1719" s="200"/>
      <c r="K1719" s="201"/>
      <c r="L1719" s="276"/>
      <c r="M1719" s="276"/>
      <c r="N1719" s="292">
        <v>50877</v>
      </c>
      <c r="O1719" s="292">
        <v>22409</v>
      </c>
      <c r="P1719" s="292">
        <v>30877</v>
      </c>
      <c r="Q1719" s="292"/>
      <c r="R1719" s="292">
        <v>47296</v>
      </c>
      <c r="S1719" s="292">
        <v>4890.3999999999996</v>
      </c>
      <c r="T1719" s="292">
        <v>543</v>
      </c>
      <c r="U1719" s="292"/>
      <c r="V1719" s="292">
        <v>74205</v>
      </c>
      <c r="W1719" s="292">
        <v>39336</v>
      </c>
      <c r="X1719" s="292">
        <v>28435</v>
      </c>
      <c r="Y1719" s="292">
        <v>92778</v>
      </c>
      <c r="Z1719" s="292">
        <v>45960</v>
      </c>
    </row>
    <row r="1720" spans="1:26" ht="18" customHeight="1" x14ac:dyDescent="0.2">
      <c r="A1720" s="279">
        <f t="shared" si="2239"/>
        <v>44571</v>
      </c>
      <c r="B1720" s="280" t="s">
        <v>191</v>
      </c>
      <c r="C1720" s="48">
        <f t="shared" si="2260"/>
        <v>2096</v>
      </c>
      <c r="D1720" s="84">
        <f t="shared" si="2249"/>
        <v>2616</v>
      </c>
      <c r="E1720" s="45">
        <f t="shared" si="2250"/>
        <v>1556.0000000000036</v>
      </c>
      <c r="F1720" s="45">
        <f t="shared" si="2261"/>
        <v>132</v>
      </c>
      <c r="G1720" s="79">
        <f t="shared" si="2262"/>
        <v>6400.0000000000036</v>
      </c>
      <c r="H1720" s="199"/>
      <c r="I1720" s="199"/>
      <c r="J1720" s="200"/>
      <c r="K1720" s="201"/>
      <c r="L1720" s="276"/>
      <c r="M1720" s="276"/>
      <c r="N1720" s="235">
        <v>51357</v>
      </c>
      <c r="O1720" s="235">
        <v>22580</v>
      </c>
      <c r="P1720" s="235">
        <v>31041</v>
      </c>
      <c r="Q1720" s="235"/>
      <c r="R1720" s="235">
        <v>47296</v>
      </c>
      <c r="S1720" s="236">
        <v>4909.3</v>
      </c>
      <c r="T1720" s="236">
        <v>558.29999999999995</v>
      </c>
      <c r="U1720" s="236"/>
      <c r="V1720" s="235">
        <v>74609</v>
      </c>
      <c r="W1720" s="235">
        <v>39387</v>
      </c>
      <c r="X1720" s="235">
        <v>28519</v>
      </c>
      <c r="Y1720" s="235">
        <v>92778</v>
      </c>
      <c r="Z1720" s="235">
        <v>46350</v>
      </c>
    </row>
    <row r="1721" spans="1:26" ht="18" customHeight="1" x14ac:dyDescent="0.2">
      <c r="A1721" s="279">
        <f t="shared" si="2239"/>
        <v>44572</v>
      </c>
      <c r="B1721" s="280" t="s">
        <v>192</v>
      </c>
      <c r="C1721" s="48">
        <f t="shared" si="2260"/>
        <v>2018</v>
      </c>
      <c r="D1721" s="84">
        <f t="shared" si="2249"/>
        <v>2640</v>
      </c>
      <c r="E1721" s="45">
        <f t="shared" si="2250"/>
        <v>1264.0000000000146</v>
      </c>
      <c r="F1721" s="45">
        <f t="shared" si="2261"/>
        <v>129</v>
      </c>
      <c r="G1721" s="79">
        <f t="shared" si="2262"/>
        <v>6051.0000000000146</v>
      </c>
      <c r="H1721" s="199"/>
      <c r="I1721" s="199"/>
      <c r="J1721" s="200"/>
      <c r="K1721" s="201"/>
      <c r="L1721" s="276"/>
      <c r="M1721" s="276"/>
      <c r="N1721" s="235">
        <v>51487</v>
      </c>
      <c r="O1721" s="235">
        <v>22632</v>
      </c>
      <c r="P1721" s="235">
        <v>31238</v>
      </c>
      <c r="Q1721" s="235"/>
      <c r="R1721" s="235">
        <v>47296</v>
      </c>
      <c r="S1721" s="236">
        <v>4927.3</v>
      </c>
      <c r="T1721" s="236">
        <v>561.20000000000005</v>
      </c>
      <c r="U1721" s="236"/>
      <c r="V1721" s="235">
        <v>74777</v>
      </c>
      <c r="W1721" s="235">
        <v>39418</v>
      </c>
      <c r="X1721" s="235">
        <v>28597</v>
      </c>
      <c r="Y1721" s="235">
        <v>92778</v>
      </c>
      <c r="Z1721" s="235">
        <v>46482</v>
      </c>
    </row>
    <row r="1722" spans="1:26" ht="18" customHeight="1" x14ac:dyDescent="0.2">
      <c r="A1722" s="279">
        <f t="shared" si="2239"/>
        <v>44573</v>
      </c>
      <c r="B1722" s="280" t="s">
        <v>193</v>
      </c>
      <c r="C1722" s="48">
        <f t="shared" si="2260"/>
        <v>1791</v>
      </c>
      <c r="D1722" s="84">
        <f t="shared" si="2249"/>
        <v>2016</v>
      </c>
      <c r="E1722" s="45">
        <f t="shared" si="2250"/>
        <v>1103.9999999999691</v>
      </c>
      <c r="F1722" s="45">
        <f t="shared" si="2261"/>
        <v>159</v>
      </c>
      <c r="G1722" s="79">
        <f t="shared" si="2262"/>
        <v>5069.9999999999691</v>
      </c>
      <c r="H1722" s="199"/>
      <c r="I1722" s="199"/>
      <c r="J1722" s="200"/>
      <c r="K1722" s="201"/>
      <c r="L1722" s="276"/>
      <c r="M1722" s="276"/>
      <c r="N1722" s="235">
        <v>51627</v>
      </c>
      <c r="O1722" s="235">
        <v>22686</v>
      </c>
      <c r="P1722" s="235">
        <v>31428</v>
      </c>
      <c r="Q1722" s="235"/>
      <c r="R1722" s="235">
        <v>47296</v>
      </c>
      <c r="S1722" s="236">
        <v>4940.1000000000004</v>
      </c>
      <c r="T1722" s="236">
        <v>567.20000000000005</v>
      </c>
      <c r="U1722" s="236"/>
      <c r="V1722" s="235">
        <v>74943</v>
      </c>
      <c r="W1722" s="235">
        <v>39447</v>
      </c>
      <c r="X1722" s="235">
        <v>28674</v>
      </c>
      <c r="Y1722" s="235">
        <v>92778</v>
      </c>
      <c r="Z1722" s="235">
        <v>46611</v>
      </c>
    </row>
    <row r="1723" spans="1:26" ht="18" customHeight="1" x14ac:dyDescent="0.2">
      <c r="A1723" s="279">
        <f t="shared" si="2239"/>
        <v>44574</v>
      </c>
      <c r="B1723" s="280" t="s">
        <v>194</v>
      </c>
      <c r="C1723" s="48">
        <f t="shared" si="2260"/>
        <v>1874</v>
      </c>
      <c r="D1723" s="84">
        <f t="shared" si="2249"/>
        <v>2728</v>
      </c>
      <c r="E1723" s="45">
        <f t="shared" si="2250"/>
        <v>1788.0000000000018</v>
      </c>
      <c r="F1723" s="45">
        <f t="shared" si="2261"/>
        <v>141</v>
      </c>
      <c r="G1723" s="79">
        <f t="shared" si="2262"/>
        <v>6531.0000000000018</v>
      </c>
      <c r="H1723" s="199"/>
      <c r="I1723" s="199"/>
      <c r="J1723" s="200"/>
      <c r="K1723" s="201"/>
      <c r="L1723" s="276"/>
      <c r="M1723" s="276"/>
      <c r="N1723" s="235">
        <v>51735</v>
      </c>
      <c r="O1723" s="235">
        <v>22712</v>
      </c>
      <c r="P1723" s="235">
        <v>31572</v>
      </c>
      <c r="Q1723" s="235"/>
      <c r="R1723" s="235">
        <v>47296</v>
      </c>
      <c r="S1723" s="236">
        <v>4952.5</v>
      </c>
      <c r="T1723" s="236">
        <v>570</v>
      </c>
      <c r="U1723" s="236"/>
      <c r="V1723" s="235">
        <v>75110</v>
      </c>
      <c r="W1723" s="235">
        <v>39476</v>
      </c>
      <c r="X1723" s="235">
        <v>28732</v>
      </c>
      <c r="Y1723" s="235">
        <v>92778</v>
      </c>
      <c r="Z1723" s="235">
        <v>46770</v>
      </c>
    </row>
    <row r="1724" spans="1:26" ht="18" customHeight="1" x14ac:dyDescent="0.2">
      <c r="A1724" s="279">
        <f t="shared" si="2239"/>
        <v>44575</v>
      </c>
      <c r="B1724" s="278" t="s">
        <v>189</v>
      </c>
      <c r="C1724" s="48">
        <f t="shared" si="2260"/>
        <v>0</v>
      </c>
      <c r="D1724" s="84">
        <f t="shared" si="2249"/>
        <v>0</v>
      </c>
      <c r="E1724" s="45">
        <f t="shared" si="2250"/>
        <v>0</v>
      </c>
      <c r="F1724" s="45">
        <f t="shared" ref="F1724:F1725" si="2263">(Z1725-Z1724)*1</f>
        <v>0</v>
      </c>
      <c r="G1724" s="79">
        <f t="shared" ref="G1724:G1725" si="2264">C1724+D1724+F1724+E1724</f>
        <v>0</v>
      </c>
      <c r="H1724" s="199"/>
      <c r="I1724" s="199"/>
      <c r="J1724" s="200"/>
      <c r="K1724" s="201"/>
      <c r="L1724" s="276"/>
      <c r="M1724" s="276"/>
      <c r="N1724" s="235">
        <v>51877</v>
      </c>
      <c r="O1724" s="235">
        <v>22768</v>
      </c>
      <c r="P1724" s="235">
        <v>31771</v>
      </c>
      <c r="Q1724" s="235"/>
      <c r="R1724" s="235">
        <v>47296</v>
      </c>
      <c r="S1724" s="236">
        <v>4972</v>
      </c>
      <c r="T1724" s="236">
        <v>575.70000000000005</v>
      </c>
      <c r="U1724" s="236"/>
      <c r="V1724" s="235">
        <v>75272</v>
      </c>
      <c r="W1724" s="235">
        <v>39504</v>
      </c>
      <c r="X1724" s="235">
        <v>28800</v>
      </c>
      <c r="Y1724" s="235">
        <v>92778</v>
      </c>
      <c r="Z1724" s="235">
        <v>46911</v>
      </c>
    </row>
    <row r="1725" spans="1:26" ht="18" customHeight="1" x14ac:dyDescent="0.2">
      <c r="A1725" s="279">
        <f t="shared" si="2239"/>
        <v>44576</v>
      </c>
      <c r="B1725" s="279" t="s">
        <v>195</v>
      </c>
      <c r="C1725" s="48">
        <f t="shared" si="2260"/>
        <v>0</v>
      </c>
      <c r="D1725" s="84">
        <f t="shared" si="2249"/>
        <v>0</v>
      </c>
      <c r="E1725" s="45">
        <f t="shared" si="2250"/>
        <v>0</v>
      </c>
      <c r="F1725" s="45">
        <f t="shared" si="2263"/>
        <v>0</v>
      </c>
      <c r="G1725" s="79">
        <f t="shared" si="2264"/>
        <v>0</v>
      </c>
      <c r="H1725" s="199"/>
      <c r="I1725" s="199"/>
      <c r="J1725" s="200"/>
      <c r="K1725" s="201"/>
      <c r="L1725" s="276"/>
      <c r="M1725" s="276"/>
      <c r="N1725" s="153">
        <v>51877</v>
      </c>
      <c r="O1725" s="153">
        <v>22768</v>
      </c>
      <c r="P1725" s="153">
        <v>31771</v>
      </c>
      <c r="Q1725" s="153"/>
      <c r="R1725" s="153">
        <v>47296</v>
      </c>
      <c r="S1725" s="154">
        <v>4972</v>
      </c>
      <c r="T1725" s="154">
        <v>575.70000000000005</v>
      </c>
      <c r="U1725" s="154"/>
      <c r="V1725" s="153">
        <v>75272</v>
      </c>
      <c r="W1725" s="153">
        <v>39504</v>
      </c>
      <c r="X1725" s="153">
        <v>28800</v>
      </c>
      <c r="Y1725" s="153">
        <v>92778</v>
      </c>
      <c r="Z1725" s="153">
        <v>46911</v>
      </c>
    </row>
    <row r="1726" spans="1:26" ht="18" customHeight="1" x14ac:dyDescent="0.2">
      <c r="A1726" s="279">
        <f t="shared" si="2239"/>
        <v>44577</v>
      </c>
      <c r="B1726" s="278" t="s">
        <v>190</v>
      </c>
      <c r="C1726" s="48">
        <f t="shared" ref="C1726:C1727" si="2265">(V1727-V1726)*1+(W1727-W1726)*32+(X1727-X1726)*12+(Y1727-Y1726)*6</f>
        <v>2617</v>
      </c>
      <c r="D1726" s="84">
        <f t="shared" si="2249"/>
        <v>6440</v>
      </c>
      <c r="E1726" s="45">
        <f t="shared" si="2250"/>
        <v>2280.0000000000273</v>
      </c>
      <c r="F1726" s="45">
        <f t="shared" ref="F1726:F1727" si="2266">(Z1727-Z1726)*1</f>
        <v>440</v>
      </c>
      <c r="G1726" s="79">
        <f t="shared" ref="G1726:G1727" si="2267">C1726+D1726+F1726+E1726</f>
        <v>11777.000000000027</v>
      </c>
      <c r="H1726" s="199"/>
      <c r="I1726" s="199"/>
      <c r="J1726" s="200"/>
      <c r="K1726" s="201"/>
      <c r="L1726" s="276"/>
      <c r="M1726" s="276"/>
      <c r="N1726" s="153">
        <v>51877</v>
      </c>
      <c r="O1726" s="153">
        <v>22768</v>
      </c>
      <c r="P1726" s="153">
        <v>31771</v>
      </c>
      <c r="Q1726" s="153"/>
      <c r="R1726" s="153">
        <v>47296</v>
      </c>
      <c r="S1726" s="154">
        <v>4972</v>
      </c>
      <c r="T1726" s="154">
        <v>575.70000000000005</v>
      </c>
      <c r="U1726" s="154"/>
      <c r="V1726" s="153">
        <v>75272</v>
      </c>
      <c r="W1726" s="153">
        <v>39504</v>
      </c>
      <c r="X1726" s="153">
        <v>28800</v>
      </c>
      <c r="Y1726" s="153">
        <v>92778</v>
      </c>
      <c r="Z1726" s="153">
        <v>46911</v>
      </c>
    </row>
    <row r="1727" spans="1:26" ht="18" customHeight="1" x14ac:dyDescent="0.2">
      <c r="A1727" s="279">
        <f t="shared" si="2239"/>
        <v>44578</v>
      </c>
      <c r="B1727" s="280" t="s">
        <v>191</v>
      </c>
      <c r="C1727" s="48">
        <f t="shared" si="2265"/>
        <v>2024</v>
      </c>
      <c r="D1727" s="84">
        <f t="shared" si="2249"/>
        <v>2504</v>
      </c>
      <c r="E1727" s="45">
        <f t="shared" si="2250"/>
        <v>1991.9999999999573</v>
      </c>
      <c r="F1727" s="45">
        <f t="shared" si="2266"/>
        <v>128</v>
      </c>
      <c r="G1727" s="79">
        <f t="shared" si="2267"/>
        <v>6647.9999999999573</v>
      </c>
      <c r="H1727" s="199"/>
      <c r="I1727" s="199"/>
      <c r="J1727" s="200"/>
      <c r="K1727" s="201"/>
      <c r="L1727" s="276"/>
      <c r="M1727" s="276"/>
      <c r="N1727" s="235">
        <v>52237</v>
      </c>
      <c r="O1727" s="235">
        <v>22907</v>
      </c>
      <c r="P1727" s="235">
        <v>32216</v>
      </c>
      <c r="Q1727" s="235"/>
      <c r="R1727" s="235">
        <v>47296</v>
      </c>
      <c r="S1727" s="236">
        <v>4996.6000000000004</v>
      </c>
      <c r="T1727" s="236">
        <v>583.5</v>
      </c>
      <c r="U1727" s="236"/>
      <c r="V1727" s="235">
        <v>75633</v>
      </c>
      <c r="W1727" s="235">
        <v>39549</v>
      </c>
      <c r="X1727" s="235">
        <v>28868</v>
      </c>
      <c r="Y1727" s="235">
        <v>92778</v>
      </c>
      <c r="Z1727" s="235">
        <v>47351</v>
      </c>
    </row>
    <row r="1728" spans="1:26" ht="18" customHeight="1" x14ac:dyDescent="0.2">
      <c r="A1728" s="279">
        <f t="shared" si="2239"/>
        <v>44579</v>
      </c>
      <c r="B1728" s="280" t="s">
        <v>192</v>
      </c>
      <c r="C1728" s="48">
        <f t="shared" ref="C1728:C1731" si="2268">(V1729-V1728)*1+(W1729-W1728)*32+(X1729-X1728)*12+(Y1729-Y1728)*6</f>
        <v>2020</v>
      </c>
      <c r="D1728" s="84">
        <f t="shared" si="2249"/>
        <v>2600</v>
      </c>
      <c r="E1728" s="45">
        <f t="shared" si="2250"/>
        <v>1644.0000000000282</v>
      </c>
      <c r="F1728" s="45">
        <f t="shared" ref="F1728:F1731" si="2269">(Z1729-Z1728)*1</f>
        <v>96</v>
      </c>
      <c r="G1728" s="79">
        <f t="shared" ref="G1728:G1731" si="2270">C1728+D1728+F1728+E1728</f>
        <v>6360.0000000000282</v>
      </c>
      <c r="H1728" s="199"/>
      <c r="I1728" s="199"/>
      <c r="J1728" s="200"/>
      <c r="K1728" s="201"/>
      <c r="L1728" s="276"/>
      <c r="M1728" s="276"/>
      <c r="N1728" s="235">
        <v>52367</v>
      </c>
      <c r="O1728" s="235">
        <v>22957</v>
      </c>
      <c r="P1728" s="235">
        <v>32399</v>
      </c>
      <c r="Q1728" s="235"/>
      <c r="R1728" s="235">
        <v>47296</v>
      </c>
      <c r="S1728" s="236">
        <v>5015.7</v>
      </c>
      <c r="T1728" s="236">
        <v>595.1</v>
      </c>
      <c r="U1728" s="236"/>
      <c r="V1728" s="235">
        <v>75805</v>
      </c>
      <c r="W1728" s="235">
        <v>39578</v>
      </c>
      <c r="X1728" s="235">
        <v>28945</v>
      </c>
      <c r="Y1728" s="235">
        <v>92778</v>
      </c>
      <c r="Z1728" s="235">
        <v>47479</v>
      </c>
    </row>
    <row r="1729" spans="1:26" ht="18" customHeight="1" x14ac:dyDescent="0.2">
      <c r="A1729" s="279">
        <f t="shared" si="2239"/>
        <v>44580</v>
      </c>
      <c r="B1729" s="280" t="s">
        <v>193</v>
      </c>
      <c r="C1729" s="48">
        <f t="shared" si="2268"/>
        <v>2078</v>
      </c>
      <c r="D1729" s="84">
        <f t="shared" si="2249"/>
        <v>2544</v>
      </c>
      <c r="E1729" s="45">
        <f t="shared" si="2250"/>
        <v>1899.9999999999545</v>
      </c>
      <c r="F1729" s="45">
        <f t="shared" si="2269"/>
        <v>126</v>
      </c>
      <c r="G1729" s="79">
        <f t="shared" si="2270"/>
        <v>6647.9999999999545</v>
      </c>
      <c r="H1729" s="199"/>
      <c r="I1729" s="199"/>
      <c r="J1729" s="200"/>
      <c r="K1729" s="201"/>
      <c r="L1729" s="276"/>
      <c r="M1729" s="276"/>
      <c r="N1729" s="235">
        <v>52497</v>
      </c>
      <c r="O1729" s="235">
        <v>23008</v>
      </c>
      <c r="P1729" s="235">
        <v>32594</v>
      </c>
      <c r="Q1729" s="235"/>
      <c r="R1729" s="235">
        <v>47296</v>
      </c>
      <c r="S1729" s="236">
        <v>5035.8</v>
      </c>
      <c r="T1729" s="236">
        <v>596</v>
      </c>
      <c r="U1729" s="236"/>
      <c r="V1729" s="235">
        <v>75965</v>
      </c>
      <c r="W1729" s="235">
        <v>39608</v>
      </c>
      <c r="X1729" s="235">
        <v>29020</v>
      </c>
      <c r="Y1729" s="235">
        <v>92778</v>
      </c>
      <c r="Z1729" s="235">
        <v>47575</v>
      </c>
    </row>
    <row r="1730" spans="1:26" ht="18" customHeight="1" x14ac:dyDescent="0.2">
      <c r="A1730" s="279">
        <f t="shared" si="2239"/>
        <v>44581</v>
      </c>
      <c r="B1730" s="280" t="s">
        <v>194</v>
      </c>
      <c r="C1730" s="48">
        <f t="shared" si="2268"/>
        <v>2043</v>
      </c>
      <c r="D1730" s="84">
        <f t="shared" si="2249"/>
        <v>2592</v>
      </c>
      <c r="E1730" s="45">
        <f t="shared" si="2250"/>
        <v>1824.0000000000009</v>
      </c>
      <c r="F1730" s="45">
        <f t="shared" si="2269"/>
        <v>123</v>
      </c>
      <c r="G1730" s="79">
        <f t="shared" si="2270"/>
        <v>6582.0000000000009</v>
      </c>
      <c r="H1730" s="199"/>
      <c r="I1730" s="199"/>
      <c r="J1730" s="200"/>
      <c r="K1730" s="201"/>
      <c r="L1730" s="276"/>
      <c r="M1730" s="276"/>
      <c r="N1730" s="235">
        <v>52627</v>
      </c>
      <c r="O1730" s="235">
        <v>23059</v>
      </c>
      <c r="P1730" s="235">
        <v>32782</v>
      </c>
      <c r="Q1730" s="235"/>
      <c r="R1730" s="235">
        <v>47296</v>
      </c>
      <c r="S1730" s="236">
        <v>5055.3999999999996</v>
      </c>
      <c r="T1730" s="236">
        <v>604.29999999999995</v>
      </c>
      <c r="U1730" s="236"/>
      <c r="V1730" s="235">
        <v>76127</v>
      </c>
      <c r="W1730" s="235">
        <v>39639</v>
      </c>
      <c r="X1730" s="235">
        <v>29097</v>
      </c>
      <c r="Y1730" s="235">
        <v>92778</v>
      </c>
      <c r="Z1730" s="235">
        <v>47701</v>
      </c>
    </row>
    <row r="1731" spans="1:26" ht="18" customHeight="1" x14ac:dyDescent="0.2">
      <c r="A1731" s="279">
        <f t="shared" si="2239"/>
        <v>44582</v>
      </c>
      <c r="B1731" s="278" t="s">
        <v>189</v>
      </c>
      <c r="C1731" s="48">
        <f t="shared" si="2268"/>
        <v>2103</v>
      </c>
      <c r="D1731" s="84">
        <f t="shared" si="2249"/>
        <v>2664</v>
      </c>
      <c r="E1731" s="45">
        <f t="shared" si="2250"/>
        <v>996.00000000003092</v>
      </c>
      <c r="F1731" s="45">
        <f t="shared" si="2269"/>
        <v>165</v>
      </c>
      <c r="G1731" s="79">
        <f t="shared" si="2270"/>
        <v>5928.0000000000309</v>
      </c>
      <c r="H1731" s="199"/>
      <c r="I1731" s="199"/>
      <c r="J1731" s="200"/>
      <c r="K1731" s="201"/>
      <c r="L1731" s="276"/>
      <c r="M1731" s="276"/>
      <c r="N1731" s="235">
        <v>52757</v>
      </c>
      <c r="O1731" s="235">
        <v>23111</v>
      </c>
      <c r="P1731" s="235">
        <v>32976</v>
      </c>
      <c r="Q1731" s="235"/>
      <c r="R1731" s="235">
        <v>47296</v>
      </c>
      <c r="S1731" s="236">
        <v>5072.8999999999996</v>
      </c>
      <c r="T1731" s="236">
        <v>614.9</v>
      </c>
      <c r="U1731" s="236"/>
      <c r="V1731" s="235">
        <v>76294</v>
      </c>
      <c r="W1731" s="235">
        <v>39668</v>
      </c>
      <c r="X1731" s="235">
        <v>29176</v>
      </c>
      <c r="Y1731" s="235">
        <v>92778</v>
      </c>
      <c r="Z1731" s="235">
        <v>47824</v>
      </c>
    </row>
    <row r="1732" spans="1:26" ht="18" customHeight="1" x14ac:dyDescent="0.2">
      <c r="A1732" s="279">
        <f t="shared" si="2239"/>
        <v>44583</v>
      </c>
      <c r="B1732" s="279" t="s">
        <v>195</v>
      </c>
      <c r="C1732" s="48">
        <f t="shared" ref="C1732" si="2271">(V1733-V1732)*1+(W1733-W1732)*32+(X1733-X1732)*12+(Y1733-Y1732)*6</f>
        <v>0</v>
      </c>
      <c r="D1732" s="84">
        <f t="shared" si="2249"/>
        <v>0</v>
      </c>
      <c r="E1732" s="45">
        <f t="shared" si="2250"/>
        <v>0</v>
      </c>
      <c r="F1732" s="45">
        <f t="shared" ref="F1732" si="2272">(Z1733-Z1732)*1</f>
        <v>0</v>
      </c>
      <c r="G1732" s="79">
        <f t="shared" ref="G1732" si="2273">C1732+D1732+F1732+E1732</f>
        <v>0</v>
      </c>
      <c r="H1732" s="199"/>
      <c r="I1732" s="199"/>
      <c r="J1732" s="200"/>
      <c r="K1732" s="201"/>
      <c r="L1732" s="276"/>
      <c r="M1732" s="276"/>
      <c r="N1732" s="235">
        <v>52897</v>
      </c>
      <c r="O1732" s="235">
        <v>23163</v>
      </c>
      <c r="P1732" s="235">
        <v>33169</v>
      </c>
      <c r="Q1732" s="235"/>
      <c r="R1732" s="235">
        <v>47296</v>
      </c>
      <c r="S1732" s="236">
        <v>5085</v>
      </c>
      <c r="T1732" s="236">
        <v>615.6</v>
      </c>
      <c r="U1732" s="236"/>
      <c r="V1732" s="235">
        <v>76457</v>
      </c>
      <c r="W1732" s="235">
        <v>39699</v>
      </c>
      <c r="X1732" s="235">
        <v>29255</v>
      </c>
      <c r="Y1732" s="235">
        <v>92778</v>
      </c>
      <c r="Z1732" s="235">
        <v>47989</v>
      </c>
    </row>
    <row r="1733" spans="1:26" ht="18" customHeight="1" x14ac:dyDescent="0.2">
      <c r="A1733" s="279">
        <f t="shared" si="2239"/>
        <v>44584</v>
      </c>
      <c r="B1733" s="278" t="s">
        <v>190</v>
      </c>
      <c r="C1733" s="48">
        <f>(V1734-V1733)*1+(W1734-W1733)*32+(X1734-X1733)*12+(Y1734-Y1733)*6</f>
        <v>2389</v>
      </c>
      <c r="D1733" s="84">
        <f t="shared" si="2249"/>
        <v>4168</v>
      </c>
      <c r="E1733" s="45">
        <f t="shared" si="2250"/>
        <v>1928.0000000000291</v>
      </c>
      <c r="F1733" s="45">
        <f>(Z1734-Z1733)*1</f>
        <v>271</v>
      </c>
      <c r="G1733" s="79">
        <f>C1733+D1733+F1733+E1733</f>
        <v>8756.0000000000291</v>
      </c>
      <c r="H1733" s="199"/>
      <c r="I1733" s="199"/>
      <c r="J1733" s="200"/>
      <c r="K1733" s="201"/>
      <c r="L1733" s="276"/>
      <c r="M1733" s="276"/>
      <c r="N1733" s="153">
        <v>52897</v>
      </c>
      <c r="O1733" s="153">
        <v>23163</v>
      </c>
      <c r="P1733" s="153">
        <v>33169</v>
      </c>
      <c r="Q1733" s="153"/>
      <c r="R1733" s="153">
        <v>47296</v>
      </c>
      <c r="S1733" s="154">
        <v>5085</v>
      </c>
      <c r="T1733" s="154">
        <v>615.6</v>
      </c>
      <c r="U1733" s="154"/>
      <c r="V1733" s="153">
        <v>76457</v>
      </c>
      <c r="W1733" s="153">
        <v>39699</v>
      </c>
      <c r="X1733" s="153">
        <v>29255</v>
      </c>
      <c r="Y1733" s="153">
        <v>92778</v>
      </c>
      <c r="Z1733" s="153">
        <v>47989</v>
      </c>
    </row>
    <row r="1734" spans="1:26" ht="18" customHeight="1" x14ac:dyDescent="0.2">
      <c r="A1734" s="279">
        <f t="shared" si="2239"/>
        <v>44585</v>
      </c>
      <c r="B1734" s="280" t="s">
        <v>191</v>
      </c>
      <c r="C1734" s="48">
        <f t="shared" ref="C1734:C1747" si="2274">(V1735-V1734)*1+(W1735-W1734)*32+(X1735-X1734)*12+(Y1735-Y1734)*6</f>
        <v>2098</v>
      </c>
      <c r="D1734" s="84">
        <f t="shared" si="2249"/>
        <v>2568</v>
      </c>
      <c r="E1734" s="45">
        <f t="shared" si="2250"/>
        <v>1803.9999999999827</v>
      </c>
      <c r="F1734" s="45">
        <f t="shared" ref="F1734:F1747" si="2275">(Z1735-Z1734)*1</f>
        <v>114</v>
      </c>
      <c r="G1734" s="79">
        <f t="shared" ref="G1734:G1747" si="2276">C1734+D1734+F1734+E1734</f>
        <v>6583.9999999999827</v>
      </c>
      <c r="H1734" s="199"/>
      <c r="I1734" s="199"/>
      <c r="J1734" s="200"/>
      <c r="K1734" s="201"/>
      <c r="L1734" s="276"/>
      <c r="M1734" s="276"/>
      <c r="N1734" s="235">
        <v>53087</v>
      </c>
      <c r="O1734" s="235">
        <v>23242</v>
      </c>
      <c r="P1734" s="235">
        <v>33500</v>
      </c>
      <c r="Q1734" s="235"/>
      <c r="R1734" s="235">
        <v>47296</v>
      </c>
      <c r="S1734" s="236">
        <v>5096.1000000000004</v>
      </c>
      <c r="T1734" s="236">
        <v>641.6</v>
      </c>
      <c r="U1734" s="236"/>
      <c r="V1734" s="235">
        <v>76734</v>
      </c>
      <c r="W1734" s="235">
        <v>39738</v>
      </c>
      <c r="X1734" s="235">
        <v>29327</v>
      </c>
      <c r="Y1734" s="235">
        <v>92778</v>
      </c>
      <c r="Z1734" s="235">
        <v>48260</v>
      </c>
    </row>
    <row r="1735" spans="1:26" ht="18" customHeight="1" x14ac:dyDescent="0.2">
      <c r="A1735" s="279">
        <f t="shared" si="2239"/>
        <v>44586</v>
      </c>
      <c r="B1735" s="280" t="s">
        <v>192</v>
      </c>
      <c r="C1735" s="48">
        <f t="shared" si="2274"/>
        <v>2093</v>
      </c>
      <c r="D1735" s="84">
        <f t="shared" si="2249"/>
        <v>2552</v>
      </c>
      <c r="E1735" s="45">
        <f t="shared" si="2250"/>
        <v>432.00000000001637</v>
      </c>
      <c r="F1735" s="45">
        <f t="shared" si="2275"/>
        <v>109</v>
      </c>
      <c r="G1735" s="79">
        <f t="shared" si="2276"/>
        <v>5186.0000000000164</v>
      </c>
      <c r="H1735" s="199"/>
      <c r="I1735" s="199"/>
      <c r="J1735" s="200"/>
      <c r="K1735" s="201"/>
      <c r="L1735" s="276"/>
      <c r="M1735" s="276"/>
      <c r="N1735" s="235">
        <v>53217</v>
      </c>
      <c r="O1735" s="235">
        <v>23294</v>
      </c>
      <c r="P1735" s="235">
        <v>33691</v>
      </c>
      <c r="Q1735" s="235"/>
      <c r="R1735" s="235">
        <v>47296</v>
      </c>
      <c r="S1735" s="236">
        <v>5113.8</v>
      </c>
      <c r="T1735" s="236">
        <v>651.29999999999995</v>
      </c>
      <c r="U1735" s="236"/>
      <c r="V1735" s="235">
        <v>76900</v>
      </c>
      <c r="W1735" s="235">
        <v>39768</v>
      </c>
      <c r="X1735" s="235">
        <v>29408</v>
      </c>
      <c r="Y1735" s="235">
        <v>92778</v>
      </c>
      <c r="Z1735" s="235">
        <v>48374</v>
      </c>
    </row>
    <row r="1736" spans="1:26" ht="18" customHeight="1" x14ac:dyDescent="0.2">
      <c r="A1736" s="279">
        <f t="shared" si="2239"/>
        <v>44587</v>
      </c>
      <c r="B1736" s="280" t="s">
        <v>193</v>
      </c>
      <c r="C1736" s="48">
        <f t="shared" si="2274"/>
        <v>2013</v>
      </c>
      <c r="D1736" s="84">
        <f t="shared" si="2249"/>
        <v>2664</v>
      </c>
      <c r="E1736" s="45">
        <f t="shared" si="2250"/>
        <v>83.999999999969077</v>
      </c>
      <c r="F1736" s="45">
        <f t="shared" si="2275"/>
        <v>98</v>
      </c>
      <c r="G1736" s="79">
        <f t="shared" si="2276"/>
        <v>4858.9999999999691</v>
      </c>
      <c r="H1736" s="199"/>
      <c r="I1736" s="199"/>
      <c r="J1736" s="200"/>
      <c r="K1736" s="201"/>
      <c r="L1736" s="276"/>
      <c r="M1736" s="276"/>
      <c r="N1736" s="235">
        <v>53347</v>
      </c>
      <c r="O1736" s="235">
        <v>23347</v>
      </c>
      <c r="P1736" s="235">
        <v>33880</v>
      </c>
      <c r="Q1736" s="235"/>
      <c r="R1736" s="235">
        <v>47296</v>
      </c>
      <c r="S1736" s="236">
        <v>5118.6000000000004</v>
      </c>
      <c r="T1736" s="236">
        <v>652.5</v>
      </c>
      <c r="U1736" s="236"/>
      <c r="V1736" s="235">
        <v>77073</v>
      </c>
      <c r="W1736" s="235">
        <v>39798</v>
      </c>
      <c r="X1736" s="235">
        <v>29488</v>
      </c>
      <c r="Y1736" s="235">
        <v>92778</v>
      </c>
      <c r="Z1736" s="235">
        <v>48483</v>
      </c>
    </row>
    <row r="1737" spans="1:26" ht="18" customHeight="1" x14ac:dyDescent="0.2">
      <c r="A1737" s="279">
        <f t="shared" si="2239"/>
        <v>44588</v>
      </c>
      <c r="B1737" s="280" t="s">
        <v>194</v>
      </c>
      <c r="C1737" s="48">
        <f t="shared" si="2274"/>
        <v>1876</v>
      </c>
      <c r="D1737" s="84">
        <f t="shared" si="2249"/>
        <v>2624</v>
      </c>
      <c r="E1737" s="45">
        <f t="shared" si="2250"/>
        <v>80.00000000001819</v>
      </c>
      <c r="F1737" s="45">
        <f t="shared" si="2275"/>
        <v>78</v>
      </c>
      <c r="G1737" s="79">
        <f t="shared" si="2276"/>
        <v>4658.0000000000182</v>
      </c>
      <c r="H1737" s="199"/>
      <c r="I1737" s="199"/>
      <c r="J1737" s="200"/>
      <c r="K1737" s="201"/>
      <c r="L1737" s="276"/>
      <c r="M1737" s="276"/>
      <c r="N1737" s="235">
        <v>53487</v>
      </c>
      <c r="O1737" s="235">
        <v>23400</v>
      </c>
      <c r="P1737" s="235">
        <v>34073</v>
      </c>
      <c r="Q1737" s="235"/>
      <c r="R1737" s="235">
        <v>47296</v>
      </c>
      <c r="S1737" s="236">
        <v>5119.5</v>
      </c>
      <c r="T1737" s="236">
        <v>652.79999999999995</v>
      </c>
      <c r="U1737" s="236"/>
      <c r="V1737" s="235">
        <v>77238</v>
      </c>
      <c r="W1737" s="235">
        <v>39831</v>
      </c>
      <c r="X1737" s="235">
        <v>29554</v>
      </c>
      <c r="Y1737" s="235">
        <v>92778</v>
      </c>
      <c r="Z1737" s="235">
        <v>48581</v>
      </c>
    </row>
    <row r="1738" spans="1:26" ht="18" customHeight="1" x14ac:dyDescent="0.2">
      <c r="A1738" s="279">
        <f t="shared" si="2239"/>
        <v>44589</v>
      </c>
      <c r="B1738" s="278" t="s">
        <v>189</v>
      </c>
      <c r="C1738" s="48">
        <f t="shared" si="2274"/>
        <v>0</v>
      </c>
      <c r="D1738" s="84">
        <f t="shared" si="2249"/>
        <v>0</v>
      </c>
      <c r="E1738" s="45">
        <f t="shared" si="2250"/>
        <v>0</v>
      </c>
      <c r="F1738" s="45">
        <f t="shared" si="2275"/>
        <v>0</v>
      </c>
      <c r="G1738" s="79">
        <f t="shared" si="2276"/>
        <v>0</v>
      </c>
      <c r="H1738" s="199"/>
      <c r="I1738" s="199"/>
      <c r="J1738" s="200"/>
      <c r="K1738" s="201"/>
      <c r="L1738" s="276"/>
      <c r="M1738" s="276"/>
      <c r="N1738" s="235">
        <v>53627</v>
      </c>
      <c r="O1738" s="235">
        <v>23152</v>
      </c>
      <c r="P1738" s="235">
        <v>34261</v>
      </c>
      <c r="Q1738" s="235"/>
      <c r="R1738" s="235">
        <v>47296</v>
      </c>
      <c r="S1738" s="236">
        <v>5120.3</v>
      </c>
      <c r="T1738" s="236">
        <v>653.20000000000005</v>
      </c>
      <c r="U1738" s="236"/>
      <c r="V1738" s="235">
        <v>77402</v>
      </c>
      <c r="W1738" s="235">
        <v>39859</v>
      </c>
      <c r="X1738" s="235">
        <v>29622</v>
      </c>
      <c r="Y1738" s="235">
        <v>92778</v>
      </c>
      <c r="Z1738" s="235">
        <v>48659</v>
      </c>
    </row>
    <row r="1739" spans="1:26" ht="18" customHeight="1" x14ac:dyDescent="0.2">
      <c r="A1739" s="279">
        <f t="shared" si="2239"/>
        <v>44590</v>
      </c>
      <c r="B1739" s="279" t="s">
        <v>195</v>
      </c>
      <c r="C1739" s="48">
        <f t="shared" si="2274"/>
        <v>0</v>
      </c>
      <c r="D1739" s="84">
        <f t="shared" si="2249"/>
        <v>0</v>
      </c>
      <c r="E1739" s="45">
        <f t="shared" si="2250"/>
        <v>0</v>
      </c>
      <c r="F1739" s="45">
        <f t="shared" si="2275"/>
        <v>0</v>
      </c>
      <c r="G1739" s="79">
        <f t="shared" si="2276"/>
        <v>0</v>
      </c>
      <c r="H1739" s="199"/>
      <c r="I1739" s="199"/>
      <c r="J1739" s="200"/>
      <c r="K1739" s="201"/>
      <c r="L1739" s="276"/>
      <c r="M1739" s="276"/>
      <c r="N1739" s="153">
        <v>53627</v>
      </c>
      <c r="O1739" s="153">
        <v>23152</v>
      </c>
      <c r="P1739" s="153">
        <v>34261</v>
      </c>
      <c r="Q1739" s="153"/>
      <c r="R1739" s="153">
        <v>47296</v>
      </c>
      <c r="S1739" s="154">
        <v>5120.3</v>
      </c>
      <c r="T1739" s="154">
        <v>653.20000000000005</v>
      </c>
      <c r="U1739" s="154"/>
      <c r="V1739" s="153">
        <v>77402</v>
      </c>
      <c r="W1739" s="153">
        <v>39859</v>
      </c>
      <c r="X1739" s="153">
        <v>29622</v>
      </c>
      <c r="Y1739" s="153">
        <v>92778</v>
      </c>
      <c r="Z1739" s="153">
        <v>48659</v>
      </c>
    </row>
    <row r="1740" spans="1:26" ht="18" customHeight="1" x14ac:dyDescent="0.2">
      <c r="A1740" s="279">
        <f t="shared" si="2239"/>
        <v>44591</v>
      </c>
      <c r="B1740" s="278" t="s">
        <v>190</v>
      </c>
      <c r="C1740" s="48">
        <f t="shared" si="2274"/>
        <v>0</v>
      </c>
      <c r="D1740" s="84">
        <f t="shared" si="2249"/>
        <v>0</v>
      </c>
      <c r="E1740" s="45">
        <f t="shared" si="2250"/>
        <v>0</v>
      </c>
      <c r="F1740" s="45">
        <f t="shared" si="2275"/>
        <v>0</v>
      </c>
      <c r="G1740" s="79">
        <f t="shared" si="2276"/>
        <v>0</v>
      </c>
      <c r="H1740" s="199"/>
      <c r="I1740" s="199"/>
      <c r="J1740" s="200"/>
      <c r="K1740" s="201"/>
      <c r="L1740" s="276"/>
      <c r="M1740" s="276"/>
      <c r="N1740" s="153">
        <v>53627</v>
      </c>
      <c r="O1740" s="153">
        <v>23152</v>
      </c>
      <c r="P1740" s="153">
        <v>34261</v>
      </c>
      <c r="Q1740" s="153"/>
      <c r="R1740" s="153">
        <v>47296</v>
      </c>
      <c r="S1740" s="154">
        <v>5120.3</v>
      </c>
      <c r="T1740" s="154">
        <v>653.20000000000005</v>
      </c>
      <c r="U1740" s="154"/>
      <c r="V1740" s="153">
        <v>77402</v>
      </c>
      <c r="W1740" s="153">
        <v>39859</v>
      </c>
      <c r="X1740" s="153">
        <v>29622</v>
      </c>
      <c r="Y1740" s="153">
        <v>92778</v>
      </c>
      <c r="Z1740" s="153">
        <v>48659</v>
      </c>
    </row>
    <row r="1741" spans="1:26" ht="18" customHeight="1" x14ac:dyDescent="0.2">
      <c r="A1741" s="279">
        <f t="shared" si="2239"/>
        <v>44592</v>
      </c>
      <c r="B1741" s="280" t="s">
        <v>191</v>
      </c>
      <c r="C1741" s="48">
        <f t="shared" si="2274"/>
        <v>0</v>
      </c>
      <c r="D1741" s="84">
        <f t="shared" si="2249"/>
        <v>0</v>
      </c>
      <c r="E1741" s="45">
        <f t="shared" si="2250"/>
        <v>0</v>
      </c>
      <c r="F1741" s="45">
        <f t="shared" si="2275"/>
        <v>0</v>
      </c>
      <c r="G1741" s="79">
        <f t="shared" si="2276"/>
        <v>0</v>
      </c>
      <c r="H1741" s="199"/>
      <c r="I1741" s="199"/>
      <c r="J1741" s="200"/>
      <c r="K1741" s="201"/>
      <c r="L1741" s="276"/>
      <c r="M1741" s="276"/>
      <c r="N1741" s="153">
        <v>53627</v>
      </c>
      <c r="O1741" s="153">
        <v>23152</v>
      </c>
      <c r="P1741" s="153">
        <v>34261</v>
      </c>
      <c r="Q1741" s="153"/>
      <c r="R1741" s="153">
        <v>47296</v>
      </c>
      <c r="S1741" s="154">
        <v>5120.3</v>
      </c>
      <c r="T1741" s="154">
        <v>653.20000000000005</v>
      </c>
      <c r="U1741" s="154"/>
      <c r="V1741" s="153">
        <v>77402</v>
      </c>
      <c r="W1741" s="153">
        <v>39859</v>
      </c>
      <c r="X1741" s="153">
        <v>29622</v>
      </c>
      <c r="Y1741" s="153">
        <v>92778</v>
      </c>
      <c r="Z1741" s="153">
        <v>48659</v>
      </c>
    </row>
    <row r="1742" spans="1:26" ht="18" customHeight="1" x14ac:dyDescent="0.2">
      <c r="A1742" s="279">
        <f t="shared" si="2239"/>
        <v>44593</v>
      </c>
      <c r="B1742" s="280" t="s">
        <v>192</v>
      </c>
      <c r="C1742" s="48">
        <f t="shared" si="2274"/>
        <v>0</v>
      </c>
      <c r="D1742" s="84">
        <f t="shared" si="2249"/>
        <v>0</v>
      </c>
      <c r="E1742" s="45">
        <f t="shared" si="2250"/>
        <v>0</v>
      </c>
      <c r="F1742" s="45">
        <f t="shared" si="2275"/>
        <v>0</v>
      </c>
      <c r="G1742" s="79">
        <f t="shared" si="2276"/>
        <v>0</v>
      </c>
      <c r="H1742" s="199"/>
      <c r="I1742" s="199"/>
      <c r="J1742" s="200"/>
      <c r="K1742" s="201"/>
      <c r="L1742" s="276"/>
      <c r="M1742" s="276"/>
      <c r="N1742" s="153">
        <v>53627</v>
      </c>
      <c r="O1742" s="153">
        <v>23152</v>
      </c>
      <c r="P1742" s="153">
        <v>34261</v>
      </c>
      <c r="Q1742" s="153"/>
      <c r="R1742" s="153">
        <v>47296</v>
      </c>
      <c r="S1742" s="154">
        <v>5120.3</v>
      </c>
      <c r="T1742" s="154">
        <v>653.20000000000005</v>
      </c>
      <c r="U1742" s="154"/>
      <c r="V1742" s="153">
        <v>77402</v>
      </c>
      <c r="W1742" s="153">
        <v>39859</v>
      </c>
      <c r="X1742" s="153">
        <v>29622</v>
      </c>
      <c r="Y1742" s="153">
        <v>92778</v>
      </c>
      <c r="Z1742" s="153">
        <v>48659</v>
      </c>
    </row>
    <row r="1743" spans="1:26" ht="18" customHeight="1" x14ac:dyDescent="0.2">
      <c r="A1743" s="279">
        <f t="shared" si="2239"/>
        <v>44594</v>
      </c>
      <c r="B1743" s="280" t="s">
        <v>193</v>
      </c>
      <c r="C1743" s="48">
        <f t="shared" si="2274"/>
        <v>0</v>
      </c>
      <c r="D1743" s="84">
        <f t="shared" si="2249"/>
        <v>0</v>
      </c>
      <c r="E1743" s="45">
        <f t="shared" si="2250"/>
        <v>0</v>
      </c>
      <c r="F1743" s="45">
        <f t="shared" si="2275"/>
        <v>0</v>
      </c>
      <c r="G1743" s="79">
        <f t="shared" si="2276"/>
        <v>0</v>
      </c>
      <c r="H1743" s="199"/>
      <c r="I1743" s="199"/>
      <c r="J1743" s="200"/>
      <c r="K1743" s="201"/>
      <c r="L1743" s="276"/>
      <c r="M1743" s="276"/>
      <c r="N1743" s="153">
        <v>53627</v>
      </c>
      <c r="O1743" s="153">
        <v>23152</v>
      </c>
      <c r="P1743" s="153">
        <v>34261</v>
      </c>
      <c r="Q1743" s="153"/>
      <c r="R1743" s="153">
        <v>47296</v>
      </c>
      <c r="S1743" s="154">
        <v>5120.3</v>
      </c>
      <c r="T1743" s="154">
        <v>653.20000000000005</v>
      </c>
      <c r="U1743" s="154"/>
      <c r="V1743" s="153">
        <v>77402</v>
      </c>
      <c r="W1743" s="153">
        <v>39859</v>
      </c>
      <c r="X1743" s="153">
        <v>29622</v>
      </c>
      <c r="Y1743" s="153">
        <v>92778</v>
      </c>
      <c r="Z1743" s="153">
        <v>48659</v>
      </c>
    </row>
    <row r="1744" spans="1:26" ht="18" customHeight="1" x14ac:dyDescent="0.2">
      <c r="A1744" s="279">
        <f t="shared" si="2239"/>
        <v>44595</v>
      </c>
      <c r="B1744" s="280" t="s">
        <v>194</v>
      </c>
      <c r="C1744" s="48">
        <f t="shared" si="2274"/>
        <v>0</v>
      </c>
      <c r="D1744" s="84">
        <f t="shared" si="2249"/>
        <v>0</v>
      </c>
      <c r="E1744" s="45">
        <f t="shared" si="2250"/>
        <v>0</v>
      </c>
      <c r="F1744" s="45">
        <f t="shared" si="2275"/>
        <v>0</v>
      </c>
      <c r="G1744" s="79">
        <f t="shared" si="2276"/>
        <v>0</v>
      </c>
      <c r="H1744" s="199"/>
      <c r="I1744" s="199"/>
      <c r="J1744" s="200"/>
      <c r="K1744" s="201"/>
      <c r="L1744" s="276"/>
      <c r="M1744" s="276"/>
      <c r="N1744" s="153">
        <v>53627</v>
      </c>
      <c r="O1744" s="153">
        <v>23152</v>
      </c>
      <c r="P1744" s="153">
        <v>34261</v>
      </c>
      <c r="Q1744" s="153"/>
      <c r="R1744" s="153">
        <v>47296</v>
      </c>
      <c r="S1744" s="154">
        <v>5120.3</v>
      </c>
      <c r="T1744" s="154">
        <v>653.20000000000005</v>
      </c>
      <c r="U1744" s="154"/>
      <c r="V1744" s="153">
        <v>77402</v>
      </c>
      <c r="W1744" s="153">
        <v>39859</v>
      </c>
      <c r="X1744" s="153">
        <v>29622</v>
      </c>
      <c r="Y1744" s="153">
        <v>92778</v>
      </c>
      <c r="Z1744" s="153">
        <v>48659</v>
      </c>
    </row>
    <row r="1745" spans="1:26" ht="18" customHeight="1" x14ac:dyDescent="0.2">
      <c r="A1745" s="279">
        <f t="shared" si="2239"/>
        <v>44596</v>
      </c>
      <c r="B1745" s="278" t="s">
        <v>189</v>
      </c>
      <c r="C1745" s="48">
        <f t="shared" si="2274"/>
        <v>0</v>
      </c>
      <c r="D1745" s="84">
        <f t="shared" si="2249"/>
        <v>0</v>
      </c>
      <c r="E1745" s="45">
        <f t="shared" si="2250"/>
        <v>0</v>
      </c>
      <c r="F1745" s="45">
        <f t="shared" si="2275"/>
        <v>0</v>
      </c>
      <c r="G1745" s="79">
        <f t="shared" si="2276"/>
        <v>0</v>
      </c>
      <c r="H1745" s="199"/>
      <c r="I1745" s="199"/>
      <c r="J1745" s="200"/>
      <c r="K1745" s="201"/>
      <c r="L1745" s="276"/>
      <c r="M1745" s="276"/>
      <c r="N1745" s="153">
        <v>53627</v>
      </c>
      <c r="O1745" s="153">
        <v>23152</v>
      </c>
      <c r="P1745" s="153">
        <v>34261</v>
      </c>
      <c r="Q1745" s="153"/>
      <c r="R1745" s="153">
        <v>47296</v>
      </c>
      <c r="S1745" s="154">
        <v>5120.3</v>
      </c>
      <c r="T1745" s="154">
        <v>653.20000000000005</v>
      </c>
      <c r="U1745" s="154"/>
      <c r="V1745" s="153">
        <v>77402</v>
      </c>
      <c r="W1745" s="153">
        <v>39859</v>
      </c>
      <c r="X1745" s="153">
        <v>29622</v>
      </c>
      <c r="Y1745" s="153">
        <v>92778</v>
      </c>
      <c r="Z1745" s="153">
        <v>48659</v>
      </c>
    </row>
    <row r="1746" spans="1:26" ht="18" customHeight="1" x14ac:dyDescent="0.2">
      <c r="A1746" s="279">
        <f t="shared" si="2239"/>
        <v>44597</v>
      </c>
      <c r="B1746" s="279" t="s">
        <v>195</v>
      </c>
      <c r="C1746" s="48">
        <f t="shared" si="2274"/>
        <v>0</v>
      </c>
      <c r="D1746" s="84">
        <f t="shared" si="2249"/>
        <v>0</v>
      </c>
      <c r="E1746" s="45">
        <f t="shared" si="2250"/>
        <v>0</v>
      </c>
      <c r="F1746" s="45">
        <f t="shared" si="2275"/>
        <v>0</v>
      </c>
      <c r="G1746" s="79">
        <f t="shared" si="2276"/>
        <v>0</v>
      </c>
      <c r="H1746" s="199"/>
      <c r="I1746" s="199"/>
      <c r="J1746" s="200"/>
      <c r="K1746" s="201"/>
      <c r="L1746" s="276"/>
      <c r="M1746" s="276"/>
      <c r="N1746" s="153">
        <v>53627</v>
      </c>
      <c r="O1746" s="153">
        <v>23152</v>
      </c>
      <c r="P1746" s="153">
        <v>34261</v>
      </c>
      <c r="Q1746" s="153"/>
      <c r="R1746" s="153">
        <v>47296</v>
      </c>
      <c r="S1746" s="154">
        <v>5120.3</v>
      </c>
      <c r="T1746" s="154">
        <v>653.20000000000005</v>
      </c>
      <c r="U1746" s="154"/>
      <c r="V1746" s="153">
        <v>77402</v>
      </c>
      <c r="W1746" s="153">
        <v>39859</v>
      </c>
      <c r="X1746" s="153">
        <v>29622</v>
      </c>
      <c r="Y1746" s="153">
        <v>92778</v>
      </c>
      <c r="Z1746" s="153">
        <v>48659</v>
      </c>
    </row>
    <row r="1747" spans="1:26" ht="18" customHeight="1" x14ac:dyDescent="0.2">
      <c r="A1747" s="279">
        <f t="shared" si="2239"/>
        <v>44598</v>
      </c>
      <c r="B1747" s="278" t="s">
        <v>190</v>
      </c>
      <c r="C1747" s="48">
        <f t="shared" si="2274"/>
        <v>4193</v>
      </c>
      <c r="D1747" s="84">
        <f t="shared" si="2249"/>
        <v>11208</v>
      </c>
      <c r="E1747" s="45">
        <f t="shared" si="2250"/>
        <v>1383.9999999999691</v>
      </c>
      <c r="F1747" s="45">
        <f t="shared" si="2275"/>
        <v>1014</v>
      </c>
      <c r="G1747" s="79">
        <f t="shared" si="2276"/>
        <v>17798.999999999971</v>
      </c>
      <c r="H1747" s="199"/>
      <c r="I1747" s="199"/>
      <c r="J1747" s="200"/>
      <c r="K1747" s="201"/>
      <c r="L1747" s="276"/>
      <c r="M1747" s="276"/>
      <c r="N1747" s="153">
        <v>53627</v>
      </c>
      <c r="O1747" s="153">
        <v>23152</v>
      </c>
      <c r="P1747" s="153">
        <v>34261</v>
      </c>
      <c r="Q1747" s="153"/>
      <c r="R1747" s="153">
        <v>47296</v>
      </c>
      <c r="S1747" s="154">
        <v>5120.3</v>
      </c>
      <c r="T1747" s="154">
        <v>653.20000000000005</v>
      </c>
      <c r="U1747" s="154"/>
      <c r="V1747" s="153">
        <v>77402</v>
      </c>
      <c r="W1747" s="153">
        <v>39859</v>
      </c>
      <c r="X1747" s="153">
        <v>29622</v>
      </c>
      <c r="Y1747" s="153">
        <v>92778</v>
      </c>
      <c r="Z1747" s="153">
        <v>48659</v>
      </c>
    </row>
    <row r="1748" spans="1:26" ht="18" customHeight="1" x14ac:dyDescent="0.2">
      <c r="A1748" s="279">
        <f t="shared" si="2239"/>
        <v>44599</v>
      </c>
      <c r="B1748" s="280" t="s">
        <v>191</v>
      </c>
      <c r="C1748" s="48">
        <f t="shared" ref="C1748:C1754" si="2277">(V1749-V1748)*1+(W1749-W1748)*32+(X1749-X1748)*12+(Y1749-Y1748)*6</f>
        <v>1941</v>
      </c>
      <c r="D1748" s="84">
        <f t="shared" si="2249"/>
        <v>2072</v>
      </c>
      <c r="E1748" s="45">
        <f t="shared" si="2250"/>
        <v>1672.0000000000164</v>
      </c>
      <c r="F1748" s="45">
        <f t="shared" ref="F1748:F1754" si="2278">(Z1749-Z1748)*1</f>
        <v>129</v>
      </c>
      <c r="G1748" s="79">
        <f t="shared" ref="G1748:G1754" si="2279">C1748+D1748+F1748+E1748</f>
        <v>5814.0000000000164</v>
      </c>
      <c r="H1748" s="199"/>
      <c r="I1748" s="199"/>
      <c r="J1748" s="200"/>
      <c r="K1748" s="201"/>
      <c r="L1748" s="276"/>
      <c r="M1748" s="276"/>
      <c r="N1748" s="235">
        <v>54317</v>
      </c>
      <c r="O1748" s="235">
        <v>23726</v>
      </c>
      <c r="P1748" s="235">
        <v>34972</v>
      </c>
      <c r="Q1748" s="235"/>
      <c r="R1748" s="235">
        <v>47296</v>
      </c>
      <c r="S1748" s="236">
        <v>5137.2</v>
      </c>
      <c r="T1748" s="236">
        <v>654</v>
      </c>
      <c r="U1748" s="236"/>
      <c r="V1748" s="235">
        <v>78071</v>
      </c>
      <c r="W1748" s="235">
        <v>39950</v>
      </c>
      <c r="X1748" s="235">
        <v>29673</v>
      </c>
      <c r="Y1748" s="235">
        <v>92778</v>
      </c>
      <c r="Z1748" s="235">
        <v>49673</v>
      </c>
    </row>
    <row r="1749" spans="1:26" ht="18" customHeight="1" x14ac:dyDescent="0.2">
      <c r="A1749" s="279">
        <f t="shared" si="2239"/>
        <v>44600</v>
      </c>
      <c r="B1749" s="280" t="s">
        <v>192</v>
      </c>
      <c r="C1749" s="48">
        <f t="shared" si="2277"/>
        <v>2214</v>
      </c>
      <c r="D1749" s="84">
        <f t="shared" si="2249"/>
        <v>2328</v>
      </c>
      <c r="E1749" s="45">
        <f t="shared" si="2250"/>
        <v>1248.0000000000109</v>
      </c>
      <c r="F1749" s="45">
        <f t="shared" si="2278"/>
        <v>115</v>
      </c>
      <c r="G1749" s="79">
        <f t="shared" si="2279"/>
        <v>5905.0000000000109</v>
      </c>
      <c r="H1749" s="199"/>
      <c r="I1749" s="199"/>
      <c r="J1749" s="200"/>
      <c r="K1749" s="201"/>
      <c r="L1749" s="276"/>
      <c r="M1749" s="276"/>
      <c r="N1749" s="235">
        <v>54397</v>
      </c>
      <c r="O1749" s="235">
        <v>23758</v>
      </c>
      <c r="P1749" s="235">
        <v>35151</v>
      </c>
      <c r="Q1749" s="235"/>
      <c r="R1749" s="235">
        <v>47296</v>
      </c>
      <c r="S1749" s="236">
        <v>5155.5</v>
      </c>
      <c r="T1749" s="236">
        <v>659.2</v>
      </c>
      <c r="U1749" s="236"/>
      <c r="V1749" s="235">
        <v>78240</v>
      </c>
      <c r="W1749" s="235">
        <v>39981</v>
      </c>
      <c r="X1749" s="235">
        <v>29738</v>
      </c>
      <c r="Y1749" s="235">
        <v>92778</v>
      </c>
      <c r="Z1749" s="235">
        <v>49802</v>
      </c>
    </row>
    <row r="1750" spans="1:26" ht="18" customHeight="1" x14ac:dyDescent="0.2">
      <c r="A1750" s="279">
        <f t="shared" si="2239"/>
        <v>44601</v>
      </c>
      <c r="B1750" s="280" t="s">
        <v>193</v>
      </c>
      <c r="C1750" s="48">
        <f t="shared" si="2277"/>
        <v>2109</v>
      </c>
      <c r="D1750" s="84">
        <f t="shared" si="2249"/>
        <v>2592</v>
      </c>
      <c r="E1750" s="45">
        <f t="shared" si="2250"/>
        <v>1267.9999999999563</v>
      </c>
      <c r="F1750" s="45">
        <f t="shared" si="2278"/>
        <v>103</v>
      </c>
      <c r="G1750" s="79">
        <f t="shared" si="2279"/>
        <v>6071.9999999999563</v>
      </c>
      <c r="H1750" s="199"/>
      <c r="I1750" s="199"/>
      <c r="J1750" s="200"/>
      <c r="K1750" s="201"/>
      <c r="L1750" s="276"/>
      <c r="M1750" s="276"/>
      <c r="N1750" s="235">
        <v>54507</v>
      </c>
      <c r="O1750" s="235">
        <v>23800</v>
      </c>
      <c r="P1750" s="235">
        <v>35332</v>
      </c>
      <c r="Q1750" s="235"/>
      <c r="R1750" s="235">
        <v>47296</v>
      </c>
      <c r="S1750" s="236">
        <v>5168.3</v>
      </c>
      <c r="T1750" s="236">
        <v>664.8</v>
      </c>
      <c r="U1750" s="236"/>
      <c r="V1750" s="235">
        <v>78442</v>
      </c>
      <c r="W1750" s="235">
        <v>40012</v>
      </c>
      <c r="X1750" s="235">
        <v>29823</v>
      </c>
      <c r="Y1750" s="235">
        <v>92778</v>
      </c>
      <c r="Z1750" s="235">
        <v>49917</v>
      </c>
    </row>
    <row r="1751" spans="1:26" ht="18" customHeight="1" x14ac:dyDescent="0.2">
      <c r="A1751" s="279">
        <f t="shared" si="2239"/>
        <v>44602</v>
      </c>
      <c r="B1751" s="280" t="s">
        <v>194</v>
      </c>
      <c r="C1751" s="48">
        <f t="shared" si="2277"/>
        <v>2100</v>
      </c>
      <c r="D1751" s="84">
        <f t="shared" si="2249"/>
        <v>2616</v>
      </c>
      <c r="E1751" s="45">
        <f t="shared" si="2250"/>
        <v>1516.0000000000036</v>
      </c>
      <c r="F1751" s="45">
        <f t="shared" si="2278"/>
        <v>106</v>
      </c>
      <c r="G1751" s="79">
        <f t="shared" si="2279"/>
        <v>6338.0000000000036</v>
      </c>
      <c r="H1751" s="199"/>
      <c r="I1751" s="199"/>
      <c r="J1751" s="200"/>
      <c r="K1751" s="201"/>
      <c r="L1751" s="276"/>
      <c r="M1751" s="276"/>
      <c r="N1751" s="235">
        <v>54647</v>
      </c>
      <c r="O1751" s="235">
        <v>23854</v>
      </c>
      <c r="P1751" s="235">
        <v>35516</v>
      </c>
      <c r="Q1751" s="235"/>
      <c r="R1751" s="235">
        <v>47296</v>
      </c>
      <c r="S1751" s="236">
        <v>5179.3999999999996</v>
      </c>
      <c r="T1751" s="236">
        <v>674.3</v>
      </c>
      <c r="U1751" s="236"/>
      <c r="V1751" s="235">
        <v>78627</v>
      </c>
      <c r="W1751" s="235">
        <v>40044</v>
      </c>
      <c r="X1751" s="235">
        <v>29898</v>
      </c>
      <c r="Y1751" s="235">
        <v>92778</v>
      </c>
      <c r="Z1751" s="235">
        <v>50020</v>
      </c>
    </row>
    <row r="1752" spans="1:26" ht="18" customHeight="1" x14ac:dyDescent="0.2">
      <c r="A1752" s="279">
        <f t="shared" si="2239"/>
        <v>44603</v>
      </c>
      <c r="B1752" s="278" t="s">
        <v>189</v>
      </c>
      <c r="C1752" s="48">
        <f t="shared" si="2277"/>
        <v>0</v>
      </c>
      <c r="D1752" s="84">
        <f t="shared" si="2249"/>
        <v>0</v>
      </c>
      <c r="E1752" s="45">
        <f t="shared" si="2250"/>
        <v>0</v>
      </c>
      <c r="F1752" s="45">
        <f t="shared" si="2278"/>
        <v>0</v>
      </c>
      <c r="G1752" s="79">
        <f t="shared" si="2279"/>
        <v>0</v>
      </c>
      <c r="H1752" s="199"/>
      <c r="I1752" s="199"/>
      <c r="J1752" s="200"/>
      <c r="K1752" s="201"/>
      <c r="L1752" s="276"/>
      <c r="M1752" s="276"/>
      <c r="N1752" s="235">
        <v>54787</v>
      </c>
      <c r="O1752" s="235">
        <v>23911</v>
      </c>
      <c r="P1752" s="235">
        <v>35703</v>
      </c>
      <c r="Q1752" s="235"/>
      <c r="R1752" s="235">
        <v>47296</v>
      </c>
      <c r="S1752" s="236">
        <v>5195.8999999999996</v>
      </c>
      <c r="T1752" s="236">
        <v>679.2</v>
      </c>
      <c r="U1752" s="236"/>
      <c r="V1752" s="235">
        <v>78823</v>
      </c>
      <c r="W1752" s="235">
        <v>40075</v>
      </c>
      <c r="X1752" s="235">
        <v>29974</v>
      </c>
      <c r="Y1752" s="235">
        <v>92778</v>
      </c>
      <c r="Z1752" s="235">
        <v>50126</v>
      </c>
    </row>
    <row r="1753" spans="1:26" ht="18" customHeight="1" x14ac:dyDescent="0.2">
      <c r="A1753" s="279">
        <f t="shared" si="2239"/>
        <v>44604</v>
      </c>
      <c r="B1753" s="279" t="s">
        <v>195</v>
      </c>
      <c r="C1753" s="48">
        <f t="shared" si="2277"/>
        <v>0</v>
      </c>
      <c r="D1753" s="84">
        <f t="shared" si="2249"/>
        <v>0</v>
      </c>
      <c r="E1753" s="45">
        <f t="shared" si="2250"/>
        <v>0</v>
      </c>
      <c r="F1753" s="45">
        <f t="shared" si="2278"/>
        <v>0</v>
      </c>
      <c r="G1753" s="79">
        <f t="shared" si="2279"/>
        <v>0</v>
      </c>
      <c r="H1753" s="199"/>
      <c r="I1753" s="199"/>
      <c r="J1753" s="200"/>
      <c r="K1753" s="201"/>
      <c r="L1753" s="276"/>
      <c r="M1753" s="276"/>
      <c r="N1753" s="153">
        <v>54787</v>
      </c>
      <c r="O1753" s="153">
        <v>23911</v>
      </c>
      <c r="P1753" s="153">
        <v>35703</v>
      </c>
      <c r="Q1753" s="153"/>
      <c r="R1753" s="153">
        <v>47296</v>
      </c>
      <c r="S1753" s="154">
        <v>5195.8999999999996</v>
      </c>
      <c r="T1753" s="154">
        <v>679.2</v>
      </c>
      <c r="U1753" s="154"/>
      <c r="V1753" s="153">
        <v>78823</v>
      </c>
      <c r="W1753" s="153">
        <v>40075</v>
      </c>
      <c r="X1753" s="153">
        <v>29974</v>
      </c>
      <c r="Y1753" s="153">
        <v>92778</v>
      </c>
      <c r="Z1753" s="153">
        <v>50126</v>
      </c>
    </row>
    <row r="1754" spans="1:26" ht="18" customHeight="1" x14ac:dyDescent="0.2">
      <c r="A1754" s="279">
        <f t="shared" si="2239"/>
        <v>44605</v>
      </c>
      <c r="B1754" s="278" t="s">
        <v>190</v>
      </c>
      <c r="C1754" s="48">
        <f t="shared" si="2277"/>
        <v>3020</v>
      </c>
      <c r="D1754" s="84">
        <f t="shared" si="2249"/>
        <v>2312</v>
      </c>
      <c r="E1754" s="45">
        <f t="shared" si="2250"/>
        <v>2304.0000000000418</v>
      </c>
      <c r="F1754" s="45">
        <f t="shared" si="2278"/>
        <v>370</v>
      </c>
      <c r="G1754" s="79">
        <f t="shared" si="2279"/>
        <v>8006.0000000000418</v>
      </c>
      <c r="H1754" s="199"/>
      <c r="I1754" s="199"/>
      <c r="J1754" s="200"/>
      <c r="K1754" s="201"/>
      <c r="L1754" s="276"/>
      <c r="M1754" s="276"/>
      <c r="N1754" s="153">
        <v>54787</v>
      </c>
      <c r="O1754" s="153">
        <v>23911</v>
      </c>
      <c r="P1754" s="153">
        <v>35703</v>
      </c>
      <c r="Q1754" s="153"/>
      <c r="R1754" s="153">
        <v>47296</v>
      </c>
      <c r="S1754" s="154">
        <v>5195.8999999999996</v>
      </c>
      <c r="T1754" s="154">
        <v>679.2</v>
      </c>
      <c r="U1754" s="154"/>
      <c r="V1754" s="153">
        <v>78823</v>
      </c>
      <c r="W1754" s="153">
        <v>40075</v>
      </c>
      <c r="X1754" s="153">
        <v>29974</v>
      </c>
      <c r="Y1754" s="153">
        <v>92778</v>
      </c>
      <c r="Z1754" s="153">
        <v>50126</v>
      </c>
    </row>
    <row r="1755" spans="1:26" ht="18" customHeight="1" x14ac:dyDescent="0.2">
      <c r="A1755" s="279">
        <f t="shared" si="2239"/>
        <v>44606</v>
      </c>
      <c r="B1755" s="280" t="s">
        <v>191</v>
      </c>
      <c r="C1755" s="48">
        <f t="shared" ref="C1755:C1761" si="2280">(V1756-V1755)*1+(W1756-W1755)*32+(X1756-X1755)*12+(Y1756-Y1755)*6</f>
        <v>2157</v>
      </c>
      <c r="D1755" s="84">
        <f t="shared" si="2249"/>
        <v>3488</v>
      </c>
      <c r="E1755" s="45">
        <f t="shared" si="2250"/>
        <v>1615.9999999999991</v>
      </c>
      <c r="F1755" s="45">
        <f t="shared" ref="F1755:F1761" si="2281">(Z1756-Z1755)*1</f>
        <v>134</v>
      </c>
      <c r="G1755" s="79">
        <f t="shared" ref="G1755:G1761" si="2282">C1755+D1755+F1755+E1755</f>
        <v>7394.9999999999991</v>
      </c>
      <c r="H1755" s="199"/>
      <c r="I1755" s="199"/>
      <c r="J1755" s="200"/>
      <c r="K1755" s="201"/>
      <c r="L1755" s="276"/>
      <c r="M1755" s="276"/>
      <c r="N1755" s="235">
        <v>54917</v>
      </c>
      <c r="O1755" s="235">
        <v>23961</v>
      </c>
      <c r="P1755" s="235">
        <v>35862</v>
      </c>
      <c r="Q1755" s="235"/>
      <c r="R1755" s="235">
        <v>47296</v>
      </c>
      <c r="S1755" s="236">
        <v>5216.8</v>
      </c>
      <c r="T1755" s="236">
        <v>695</v>
      </c>
      <c r="U1755" s="236"/>
      <c r="V1755" s="235">
        <v>79247</v>
      </c>
      <c r="W1755" s="235">
        <v>40125</v>
      </c>
      <c r="X1755" s="235">
        <v>30057</v>
      </c>
      <c r="Y1755" s="235">
        <v>92778</v>
      </c>
      <c r="Z1755" s="235">
        <v>50496</v>
      </c>
    </row>
    <row r="1756" spans="1:26" ht="18" customHeight="1" x14ac:dyDescent="0.2">
      <c r="A1756" s="279">
        <f t="shared" si="2239"/>
        <v>44607</v>
      </c>
      <c r="B1756" s="280" t="s">
        <v>192</v>
      </c>
      <c r="C1756" s="48">
        <f t="shared" si="2280"/>
        <v>2185</v>
      </c>
      <c r="D1756" s="84">
        <f t="shared" si="2249"/>
        <v>1840</v>
      </c>
      <c r="E1756" s="45">
        <f t="shared" si="2250"/>
        <v>1323.9999999999554</v>
      </c>
      <c r="F1756" s="45">
        <f t="shared" si="2281"/>
        <v>119</v>
      </c>
      <c r="G1756" s="79">
        <f t="shared" si="2282"/>
        <v>5467.9999999999554</v>
      </c>
      <c r="H1756" s="199"/>
      <c r="I1756" s="199"/>
      <c r="J1756" s="200"/>
      <c r="K1756" s="201"/>
      <c r="L1756" s="276"/>
      <c r="M1756" s="276"/>
      <c r="N1756" s="235">
        <v>55167</v>
      </c>
      <c r="O1756" s="235">
        <v>24020</v>
      </c>
      <c r="P1756" s="235">
        <v>36048</v>
      </c>
      <c r="Q1756" s="235"/>
      <c r="R1756" s="235">
        <v>47296</v>
      </c>
      <c r="S1756" s="236">
        <v>5236.8</v>
      </c>
      <c r="T1756" s="236">
        <v>695.4</v>
      </c>
      <c r="U1756" s="236"/>
      <c r="V1756" s="235">
        <v>79440</v>
      </c>
      <c r="W1756" s="235">
        <v>40156</v>
      </c>
      <c r="X1756" s="235">
        <v>30138</v>
      </c>
      <c r="Y1756" s="235">
        <v>92778</v>
      </c>
      <c r="Z1756" s="235">
        <v>50630</v>
      </c>
    </row>
    <row r="1757" spans="1:26" ht="18" customHeight="1" x14ac:dyDescent="0.2">
      <c r="A1757" s="279">
        <f t="shared" si="2239"/>
        <v>44608</v>
      </c>
      <c r="B1757" s="280" t="s">
        <v>193</v>
      </c>
      <c r="C1757" s="48">
        <f t="shared" si="2280"/>
        <v>2136</v>
      </c>
      <c r="D1757" s="84">
        <f t="shared" si="2249"/>
        <v>2584</v>
      </c>
      <c r="E1757" s="45">
        <f t="shared" si="2250"/>
        <v>940.00000000004547</v>
      </c>
      <c r="F1757" s="45">
        <f t="shared" si="2281"/>
        <v>112</v>
      </c>
      <c r="G1757" s="79">
        <f t="shared" si="2282"/>
        <v>5772.0000000000455</v>
      </c>
      <c r="H1757" s="199"/>
      <c r="I1757" s="199"/>
      <c r="J1757" s="200"/>
      <c r="K1757" s="201"/>
      <c r="L1757" s="276"/>
      <c r="M1757" s="276"/>
      <c r="N1757" s="235">
        <v>55217</v>
      </c>
      <c r="O1757" s="235">
        <v>24078</v>
      </c>
      <c r="P1757" s="235">
        <v>36228</v>
      </c>
      <c r="Q1757" s="235"/>
      <c r="R1757" s="235">
        <v>47296</v>
      </c>
      <c r="S1757" s="236">
        <v>5249.9</v>
      </c>
      <c r="T1757" s="236">
        <v>702.3</v>
      </c>
      <c r="U1757" s="236"/>
      <c r="V1757" s="235">
        <v>79641</v>
      </c>
      <c r="W1757" s="235">
        <v>40188</v>
      </c>
      <c r="X1757" s="235">
        <v>30218</v>
      </c>
      <c r="Y1757" s="235">
        <v>92778</v>
      </c>
      <c r="Z1757" s="235">
        <v>50749</v>
      </c>
    </row>
    <row r="1758" spans="1:26" ht="18" customHeight="1" x14ac:dyDescent="0.2">
      <c r="A1758" s="279">
        <f t="shared" si="2239"/>
        <v>44609</v>
      </c>
      <c r="B1758" s="280" t="s">
        <v>194</v>
      </c>
      <c r="C1758" s="48">
        <f t="shared" si="2280"/>
        <v>2114</v>
      </c>
      <c r="D1758" s="84">
        <f t="shared" si="2249"/>
        <v>2544</v>
      </c>
      <c r="E1758" s="45">
        <f t="shared" si="2250"/>
        <v>1651.9999999999845</v>
      </c>
      <c r="F1758" s="45">
        <f t="shared" si="2281"/>
        <v>131</v>
      </c>
      <c r="G1758" s="79">
        <f t="shared" si="2282"/>
        <v>6440.9999999999845</v>
      </c>
      <c r="H1758" s="199"/>
      <c r="I1758" s="199"/>
      <c r="J1758" s="200"/>
      <c r="K1758" s="201"/>
      <c r="L1758" s="276"/>
      <c r="M1758" s="276"/>
      <c r="N1758" s="235">
        <v>55367</v>
      </c>
      <c r="O1758" s="235">
        <v>24135</v>
      </c>
      <c r="P1758" s="235">
        <v>36401</v>
      </c>
      <c r="Q1758" s="235"/>
      <c r="R1758" s="235">
        <v>47296</v>
      </c>
      <c r="S1758" s="236">
        <v>5259.3</v>
      </c>
      <c r="T1758" s="236">
        <v>707</v>
      </c>
      <c r="U1758" s="236"/>
      <c r="V1758" s="235">
        <v>79837</v>
      </c>
      <c r="W1758" s="235">
        <v>40219</v>
      </c>
      <c r="X1758" s="235">
        <v>30297</v>
      </c>
      <c r="Y1758" s="235">
        <v>92778</v>
      </c>
      <c r="Z1758" s="235">
        <v>50861</v>
      </c>
    </row>
    <row r="1759" spans="1:26" ht="18" customHeight="1" x14ac:dyDescent="0.2">
      <c r="A1759" s="279">
        <f t="shared" si="2239"/>
        <v>44610</v>
      </c>
      <c r="B1759" s="278" t="s">
        <v>189</v>
      </c>
      <c r="C1759" s="48">
        <f t="shared" si="2280"/>
        <v>0</v>
      </c>
      <c r="D1759" s="84">
        <f t="shared" si="2249"/>
        <v>0</v>
      </c>
      <c r="E1759" s="45">
        <f t="shared" si="2250"/>
        <v>0</v>
      </c>
      <c r="F1759" s="45">
        <f t="shared" si="2281"/>
        <v>0</v>
      </c>
      <c r="G1759" s="79">
        <f t="shared" si="2282"/>
        <v>0</v>
      </c>
      <c r="H1759" s="199"/>
      <c r="I1759" s="199"/>
      <c r="J1759" s="200"/>
      <c r="K1759" s="201"/>
      <c r="L1759" s="276"/>
      <c r="M1759" s="276"/>
      <c r="N1759" s="235">
        <v>55507</v>
      </c>
      <c r="O1759" s="235">
        <v>24191</v>
      </c>
      <c r="P1759" s="235">
        <v>36579</v>
      </c>
      <c r="Q1759" s="235"/>
      <c r="R1759" s="235">
        <v>47296</v>
      </c>
      <c r="S1759" s="236">
        <v>5278</v>
      </c>
      <c r="T1759" s="236">
        <v>710.9</v>
      </c>
      <c r="U1759" s="236"/>
      <c r="V1759" s="235">
        <v>80035</v>
      </c>
      <c r="W1759" s="235">
        <v>40250</v>
      </c>
      <c r="X1759" s="235">
        <v>30374</v>
      </c>
      <c r="Y1759" s="235">
        <v>92778</v>
      </c>
      <c r="Z1759" s="235">
        <v>50992</v>
      </c>
    </row>
    <row r="1760" spans="1:26" ht="18" customHeight="1" x14ac:dyDescent="0.2">
      <c r="A1760" s="279">
        <f t="shared" si="2239"/>
        <v>44611</v>
      </c>
      <c r="B1760" s="279" t="s">
        <v>195</v>
      </c>
      <c r="C1760" s="48">
        <f t="shared" si="2280"/>
        <v>0</v>
      </c>
      <c r="D1760" s="84">
        <f t="shared" si="2249"/>
        <v>0</v>
      </c>
      <c r="E1760" s="45">
        <f t="shared" si="2250"/>
        <v>0</v>
      </c>
      <c r="F1760" s="45">
        <f t="shared" si="2281"/>
        <v>0</v>
      </c>
      <c r="G1760" s="79">
        <f t="shared" si="2282"/>
        <v>0</v>
      </c>
      <c r="H1760" s="199"/>
      <c r="I1760" s="199"/>
      <c r="J1760" s="200"/>
      <c r="K1760" s="201"/>
      <c r="L1760" s="276"/>
      <c r="M1760" s="276"/>
      <c r="N1760" s="153">
        <v>55507</v>
      </c>
      <c r="O1760" s="153">
        <v>24191</v>
      </c>
      <c r="P1760" s="153">
        <v>36579</v>
      </c>
      <c r="Q1760" s="153"/>
      <c r="R1760" s="153">
        <v>47296</v>
      </c>
      <c r="S1760" s="154">
        <v>5278</v>
      </c>
      <c r="T1760" s="154">
        <v>710.9</v>
      </c>
      <c r="U1760" s="154"/>
      <c r="V1760" s="153">
        <v>80035</v>
      </c>
      <c r="W1760" s="153">
        <v>40250</v>
      </c>
      <c r="X1760" s="153">
        <v>30374</v>
      </c>
      <c r="Y1760" s="153">
        <v>92778</v>
      </c>
      <c r="Z1760" s="153">
        <v>50992</v>
      </c>
    </row>
    <row r="1761" spans="1:26" ht="18" customHeight="1" x14ac:dyDescent="0.2">
      <c r="A1761" s="279">
        <f t="shared" si="2239"/>
        <v>44612</v>
      </c>
      <c r="B1761" s="278" t="s">
        <v>190</v>
      </c>
      <c r="C1761" s="48">
        <f t="shared" si="2280"/>
        <v>2986</v>
      </c>
      <c r="D1761" s="84">
        <f t="shared" si="2249"/>
        <v>5480</v>
      </c>
      <c r="E1761" s="45">
        <f t="shared" si="2250"/>
        <v>1832.00000000003</v>
      </c>
      <c r="F1761" s="45">
        <f t="shared" si="2281"/>
        <v>476</v>
      </c>
      <c r="G1761" s="79">
        <f t="shared" si="2282"/>
        <v>10774.000000000029</v>
      </c>
      <c r="H1761" s="199"/>
      <c r="I1761" s="199"/>
      <c r="J1761" s="200"/>
      <c r="K1761" s="201"/>
      <c r="L1761" s="276"/>
      <c r="M1761" s="276"/>
      <c r="N1761" s="153">
        <v>55507</v>
      </c>
      <c r="O1761" s="153">
        <v>24191</v>
      </c>
      <c r="P1761" s="153">
        <v>36579</v>
      </c>
      <c r="Q1761" s="153"/>
      <c r="R1761" s="153">
        <v>47296</v>
      </c>
      <c r="S1761" s="154">
        <v>5278</v>
      </c>
      <c r="T1761" s="154">
        <v>710.9</v>
      </c>
      <c r="U1761" s="154"/>
      <c r="V1761" s="153">
        <v>80035</v>
      </c>
      <c r="W1761" s="153">
        <v>40250</v>
      </c>
      <c r="X1761" s="153">
        <v>30374</v>
      </c>
      <c r="Y1761" s="153">
        <v>92778</v>
      </c>
      <c r="Z1761" s="153">
        <v>50992</v>
      </c>
    </row>
    <row r="1762" spans="1:26" ht="18" customHeight="1" x14ac:dyDescent="0.2">
      <c r="A1762" s="279">
        <f t="shared" si="2239"/>
        <v>44613</v>
      </c>
      <c r="B1762" s="280" t="s">
        <v>191</v>
      </c>
      <c r="C1762" s="48">
        <f t="shared" ref="C1762:C1769" si="2283">(V1763-V1762)*1+(W1763-W1762)*32+(X1763-X1762)*12+(Y1763-Y1762)*6</f>
        <v>2256</v>
      </c>
      <c r="D1762" s="84">
        <f t="shared" si="2249"/>
        <v>2648</v>
      </c>
      <c r="E1762" s="45">
        <f t="shared" si="2250"/>
        <v>1428.0000000000018</v>
      </c>
      <c r="F1762" s="45">
        <f t="shared" ref="F1762:F1769" si="2284">(Z1763-Z1762)*1</f>
        <v>167</v>
      </c>
      <c r="G1762" s="79">
        <f t="shared" ref="G1762:G1769" si="2285">C1762+D1762+F1762+E1762</f>
        <v>6499.0000000000018</v>
      </c>
      <c r="H1762" s="199"/>
      <c r="I1762" s="199"/>
      <c r="J1762" s="200"/>
      <c r="K1762" s="201"/>
      <c r="L1762" s="276"/>
      <c r="M1762" s="276"/>
      <c r="N1762" s="235">
        <v>55787</v>
      </c>
      <c r="O1762" s="235">
        <v>24299</v>
      </c>
      <c r="P1762" s="235">
        <v>36984</v>
      </c>
      <c r="Q1762" s="235"/>
      <c r="R1762" s="235">
        <v>47296</v>
      </c>
      <c r="S1762" s="236">
        <v>5300.6</v>
      </c>
      <c r="T1762" s="236">
        <v>711.5</v>
      </c>
      <c r="U1762" s="236"/>
      <c r="V1762" s="235">
        <v>80493</v>
      </c>
      <c r="W1762" s="235">
        <v>40299</v>
      </c>
      <c r="X1762" s="235">
        <v>30454</v>
      </c>
      <c r="Y1762" s="235">
        <v>92778</v>
      </c>
      <c r="Z1762" s="235">
        <v>51468</v>
      </c>
    </row>
    <row r="1763" spans="1:26" ht="18" customHeight="1" x14ac:dyDescent="0.2">
      <c r="A1763" s="279">
        <f t="shared" si="2239"/>
        <v>44614</v>
      </c>
      <c r="B1763" s="280" t="s">
        <v>192</v>
      </c>
      <c r="C1763" s="48">
        <f t="shared" si="2283"/>
        <v>2235</v>
      </c>
      <c r="D1763" s="84">
        <f t="shared" si="2249"/>
        <v>2456</v>
      </c>
      <c r="E1763" s="45">
        <f t="shared" si="2250"/>
        <v>1115.9999999999854</v>
      </c>
      <c r="F1763" s="45">
        <f t="shared" si="2284"/>
        <v>171</v>
      </c>
      <c r="G1763" s="79">
        <f t="shared" si="2285"/>
        <v>5977.9999999999854</v>
      </c>
      <c r="H1763" s="199"/>
      <c r="I1763" s="199"/>
      <c r="J1763" s="200"/>
      <c r="K1763" s="201"/>
      <c r="L1763" s="276"/>
      <c r="M1763" s="276"/>
      <c r="N1763" s="235">
        <v>55937</v>
      </c>
      <c r="O1763" s="235">
        <v>24355</v>
      </c>
      <c r="P1763" s="235">
        <v>37165</v>
      </c>
      <c r="Q1763" s="235"/>
      <c r="R1763" s="235">
        <v>47296</v>
      </c>
      <c r="S1763" s="236">
        <v>5314.1</v>
      </c>
      <c r="T1763" s="236">
        <v>720.2</v>
      </c>
      <c r="U1763" s="236"/>
      <c r="V1763" s="235">
        <v>80689</v>
      </c>
      <c r="W1763" s="235">
        <v>40330</v>
      </c>
      <c r="X1763" s="235">
        <v>30543</v>
      </c>
      <c r="Y1763" s="235">
        <v>92778</v>
      </c>
      <c r="Z1763" s="235">
        <v>51635</v>
      </c>
    </row>
    <row r="1764" spans="1:26" ht="18" customHeight="1" x14ac:dyDescent="0.2">
      <c r="A1764" s="279">
        <f t="shared" si="2239"/>
        <v>44615</v>
      </c>
      <c r="B1764" s="280" t="s">
        <v>193</v>
      </c>
      <c r="C1764" s="48">
        <f t="shared" si="2283"/>
        <v>2072</v>
      </c>
      <c r="D1764" s="84">
        <f t="shared" si="2249"/>
        <v>2344</v>
      </c>
      <c r="E1764" s="45">
        <f t="shared" si="2250"/>
        <v>1744.0000000000146</v>
      </c>
      <c r="F1764" s="45">
        <f t="shared" si="2284"/>
        <v>143</v>
      </c>
      <c r="G1764" s="79">
        <f t="shared" si="2285"/>
        <v>6303.0000000000146</v>
      </c>
      <c r="H1764" s="199"/>
      <c r="I1764" s="199"/>
      <c r="J1764" s="200"/>
      <c r="K1764" s="201"/>
      <c r="L1764" s="276"/>
      <c r="M1764" s="276"/>
      <c r="N1764" s="235">
        <v>56067</v>
      </c>
      <c r="O1764" s="235">
        <v>24404</v>
      </c>
      <c r="P1764" s="235">
        <v>37342</v>
      </c>
      <c r="Q1764" s="235"/>
      <c r="R1764" s="235">
        <v>47296</v>
      </c>
      <c r="S1764" s="236">
        <v>5325.8</v>
      </c>
      <c r="T1764" s="236">
        <v>724.7</v>
      </c>
      <c r="U1764" s="236"/>
      <c r="V1764" s="235">
        <v>80888</v>
      </c>
      <c r="W1764" s="235">
        <v>40361</v>
      </c>
      <c r="X1764" s="235">
        <v>30630</v>
      </c>
      <c r="Y1764" s="235">
        <v>92778</v>
      </c>
      <c r="Z1764" s="235">
        <v>51806</v>
      </c>
    </row>
    <row r="1765" spans="1:26" ht="18" customHeight="1" x14ac:dyDescent="0.2">
      <c r="A1765" s="279">
        <f t="shared" si="2239"/>
        <v>44616</v>
      </c>
      <c r="B1765" s="280" t="s">
        <v>194</v>
      </c>
      <c r="C1765" s="48">
        <f t="shared" si="2283"/>
        <v>2171</v>
      </c>
      <c r="D1765" s="84">
        <f t="shared" si="2249"/>
        <v>2536</v>
      </c>
      <c r="E1765" s="45">
        <f t="shared" si="2250"/>
        <v>1687.9999999999973</v>
      </c>
      <c r="F1765" s="45">
        <f t="shared" si="2284"/>
        <v>129</v>
      </c>
      <c r="G1765" s="79">
        <f t="shared" si="2285"/>
        <v>6523.9999999999973</v>
      </c>
      <c r="H1765" s="199"/>
      <c r="I1765" s="199"/>
      <c r="J1765" s="200"/>
      <c r="K1765" s="201"/>
      <c r="L1765" s="276"/>
      <c r="M1765" s="276"/>
      <c r="N1765" s="235">
        <v>56197</v>
      </c>
      <c r="O1765" s="235">
        <v>24451</v>
      </c>
      <c r="P1765" s="235">
        <v>37505</v>
      </c>
      <c r="Q1765" s="235"/>
      <c r="R1765" s="235">
        <v>47296</v>
      </c>
      <c r="S1765" s="236">
        <v>5343.6</v>
      </c>
      <c r="T1765" s="236">
        <v>732.7</v>
      </c>
      <c r="U1765" s="236"/>
      <c r="V1765" s="235">
        <v>81084</v>
      </c>
      <c r="W1765" s="235">
        <v>40390</v>
      </c>
      <c r="X1765" s="235">
        <v>30709</v>
      </c>
      <c r="Y1765" s="235">
        <v>92778</v>
      </c>
      <c r="Z1765" s="235">
        <v>51949</v>
      </c>
    </row>
    <row r="1766" spans="1:26" ht="18" customHeight="1" x14ac:dyDescent="0.2">
      <c r="A1766" s="279">
        <f t="shared" si="2239"/>
        <v>44617</v>
      </c>
      <c r="B1766" s="278" t="s">
        <v>189</v>
      </c>
      <c r="C1766" s="48">
        <f t="shared" si="2283"/>
        <v>0</v>
      </c>
      <c r="D1766" s="84">
        <f t="shared" si="2249"/>
        <v>0</v>
      </c>
      <c r="E1766" s="45">
        <f t="shared" si="2250"/>
        <v>0</v>
      </c>
      <c r="F1766" s="45">
        <f t="shared" si="2284"/>
        <v>0</v>
      </c>
      <c r="G1766" s="79">
        <f t="shared" si="2285"/>
        <v>0</v>
      </c>
      <c r="H1766" s="199"/>
      <c r="I1766" s="199"/>
      <c r="J1766" s="200"/>
      <c r="K1766" s="201"/>
      <c r="L1766" s="276"/>
      <c r="M1766" s="276"/>
      <c r="N1766" s="235">
        <v>56407</v>
      </c>
      <c r="O1766" s="235">
        <v>24530</v>
      </c>
      <c r="P1766" s="235">
        <v>37612</v>
      </c>
      <c r="Q1766" s="235"/>
      <c r="R1766" s="235">
        <v>47296</v>
      </c>
      <c r="S1766" s="236">
        <v>5361.6</v>
      </c>
      <c r="T1766" s="236">
        <v>738.9</v>
      </c>
      <c r="U1766" s="236"/>
      <c r="V1766" s="235">
        <v>81267</v>
      </c>
      <c r="W1766" s="235">
        <v>40421</v>
      </c>
      <c r="X1766" s="235">
        <v>30792</v>
      </c>
      <c r="Y1766" s="235">
        <v>92778</v>
      </c>
      <c r="Z1766" s="235">
        <v>52078</v>
      </c>
    </row>
    <row r="1767" spans="1:26" ht="18" customHeight="1" x14ac:dyDescent="0.2">
      <c r="A1767" s="279">
        <f t="shared" si="2239"/>
        <v>44618</v>
      </c>
      <c r="B1767" s="279" t="s">
        <v>195</v>
      </c>
      <c r="C1767" s="48">
        <f t="shared" si="2283"/>
        <v>0</v>
      </c>
      <c r="D1767" s="84">
        <f t="shared" si="2249"/>
        <v>0</v>
      </c>
      <c r="E1767" s="45">
        <f t="shared" si="2250"/>
        <v>0</v>
      </c>
      <c r="F1767" s="45">
        <f t="shared" si="2284"/>
        <v>0</v>
      </c>
      <c r="G1767" s="79">
        <f t="shared" si="2285"/>
        <v>0</v>
      </c>
      <c r="H1767" s="199"/>
      <c r="I1767" s="199"/>
      <c r="J1767" s="200"/>
      <c r="K1767" s="201"/>
      <c r="L1767" s="276"/>
      <c r="M1767" s="276"/>
      <c r="N1767" s="153">
        <v>56407</v>
      </c>
      <c r="O1767" s="153">
        <v>24530</v>
      </c>
      <c r="P1767" s="153">
        <v>37612</v>
      </c>
      <c r="Q1767" s="153"/>
      <c r="R1767" s="153">
        <v>47296</v>
      </c>
      <c r="S1767" s="154">
        <v>5361.6</v>
      </c>
      <c r="T1767" s="154">
        <v>738.9</v>
      </c>
      <c r="U1767" s="154"/>
      <c r="V1767" s="153">
        <v>81267</v>
      </c>
      <c r="W1767" s="153">
        <v>40421</v>
      </c>
      <c r="X1767" s="153">
        <v>30792</v>
      </c>
      <c r="Y1767" s="153">
        <v>92778</v>
      </c>
      <c r="Z1767" s="153">
        <v>52078</v>
      </c>
    </row>
    <row r="1768" spans="1:26" ht="18" customHeight="1" x14ac:dyDescent="0.2">
      <c r="A1768" s="279">
        <f t="shared" ref="A1768:A1831" si="2286">A1767+1</f>
        <v>44619</v>
      </c>
      <c r="B1768" s="278" t="s">
        <v>190</v>
      </c>
      <c r="C1768" s="48">
        <f t="shared" si="2283"/>
        <v>0</v>
      </c>
      <c r="D1768" s="84">
        <f t="shared" si="2249"/>
        <v>0</v>
      </c>
      <c r="E1768" s="45">
        <f t="shared" si="2250"/>
        <v>0</v>
      </c>
      <c r="F1768" s="45">
        <f t="shared" si="2284"/>
        <v>0</v>
      </c>
      <c r="G1768" s="79">
        <f t="shared" si="2285"/>
        <v>0</v>
      </c>
      <c r="H1768" s="199"/>
      <c r="I1768" s="199"/>
      <c r="J1768" s="200"/>
      <c r="K1768" s="201"/>
      <c r="L1768" s="276"/>
      <c r="M1768" s="276"/>
      <c r="N1768" s="153">
        <v>56407</v>
      </c>
      <c r="O1768" s="153">
        <v>24530</v>
      </c>
      <c r="P1768" s="153">
        <v>37612</v>
      </c>
      <c r="Q1768" s="153"/>
      <c r="R1768" s="153">
        <v>47296</v>
      </c>
      <c r="S1768" s="154">
        <v>5361.6</v>
      </c>
      <c r="T1768" s="154">
        <v>738.9</v>
      </c>
      <c r="U1768" s="154"/>
      <c r="V1768" s="153">
        <v>81267</v>
      </c>
      <c r="W1768" s="153">
        <v>40421</v>
      </c>
      <c r="X1768" s="153">
        <v>30792</v>
      </c>
      <c r="Y1768" s="153">
        <v>92778</v>
      </c>
      <c r="Z1768" s="153">
        <v>52078</v>
      </c>
    </row>
    <row r="1769" spans="1:26" ht="18" customHeight="1" x14ac:dyDescent="0.2">
      <c r="A1769" s="279">
        <f t="shared" si="2286"/>
        <v>44620</v>
      </c>
      <c r="B1769" s="280" t="s">
        <v>191</v>
      </c>
      <c r="C1769" s="48">
        <f t="shared" si="2283"/>
        <v>3279</v>
      </c>
      <c r="D1769" s="84">
        <f t="shared" si="2249"/>
        <v>8512</v>
      </c>
      <c r="E1769" s="45">
        <f t="shared" si="2250"/>
        <v>2071.9999999999573</v>
      </c>
      <c r="F1769" s="45">
        <f t="shared" si="2284"/>
        <v>423</v>
      </c>
      <c r="G1769" s="79">
        <f t="shared" si="2285"/>
        <v>14285.999999999956</v>
      </c>
      <c r="H1769" s="199"/>
      <c r="I1769" s="199"/>
      <c r="J1769" s="200"/>
      <c r="K1769" s="201"/>
      <c r="L1769" s="276"/>
      <c r="M1769" s="276"/>
      <c r="N1769" s="153">
        <v>56407</v>
      </c>
      <c r="O1769" s="153">
        <v>24530</v>
      </c>
      <c r="P1769" s="153">
        <v>37612</v>
      </c>
      <c r="Q1769" s="153"/>
      <c r="R1769" s="153">
        <v>47296</v>
      </c>
      <c r="S1769" s="154">
        <v>5361.6</v>
      </c>
      <c r="T1769" s="154">
        <v>738.9</v>
      </c>
      <c r="U1769" s="154"/>
      <c r="V1769" s="153">
        <v>81267</v>
      </c>
      <c r="W1769" s="153">
        <v>40421</v>
      </c>
      <c r="X1769" s="153">
        <v>30792</v>
      </c>
      <c r="Y1769" s="153">
        <v>92778</v>
      </c>
      <c r="Z1769" s="153">
        <v>52078</v>
      </c>
    </row>
    <row r="1770" spans="1:26" ht="18" customHeight="1" x14ac:dyDescent="0.2">
      <c r="A1770" s="279">
        <f t="shared" si="2286"/>
        <v>44621</v>
      </c>
      <c r="B1770" s="280" t="s">
        <v>192</v>
      </c>
      <c r="C1770" s="48">
        <f t="shared" ref="C1770:C1775" si="2287">(V1771-V1770)*1+(W1771-W1770)*32+(X1771-X1770)*12+(Y1771-Y1770)*6</f>
        <v>2229</v>
      </c>
      <c r="D1770" s="84">
        <f t="shared" si="2249"/>
        <v>2480</v>
      </c>
      <c r="E1770" s="45">
        <f t="shared" si="2250"/>
        <v>956.00000000004457</v>
      </c>
      <c r="F1770" s="45">
        <f t="shared" ref="F1770:F1775" si="2288">(Z1771-Z1770)*1</f>
        <v>78</v>
      </c>
      <c r="G1770" s="79">
        <f t="shared" ref="G1770:G1775" si="2289">C1770+D1770+F1770+E1770</f>
        <v>5743.0000000000446</v>
      </c>
      <c r="H1770" s="199"/>
      <c r="I1770" s="199"/>
      <c r="J1770" s="200"/>
      <c r="K1770" s="201"/>
      <c r="L1770" s="276"/>
      <c r="M1770" s="276"/>
      <c r="N1770" s="235">
        <v>56997</v>
      </c>
      <c r="O1770" s="235">
        <v>24764</v>
      </c>
      <c r="P1770" s="235">
        <v>38086</v>
      </c>
      <c r="Q1770" s="235"/>
      <c r="R1770" s="235">
        <v>47296</v>
      </c>
      <c r="S1770" s="236">
        <v>5383.7</v>
      </c>
      <c r="T1770" s="236">
        <v>746.5</v>
      </c>
      <c r="U1770" s="236"/>
      <c r="V1770" s="235">
        <v>81806</v>
      </c>
      <c r="W1770" s="235">
        <v>40477</v>
      </c>
      <c r="X1770" s="235">
        <v>30871</v>
      </c>
      <c r="Y1770" s="235">
        <v>92778</v>
      </c>
      <c r="Z1770" s="235">
        <v>52501</v>
      </c>
    </row>
    <row r="1771" spans="1:26" ht="18" customHeight="1" x14ac:dyDescent="0.2">
      <c r="A1771" s="279">
        <f t="shared" si="2286"/>
        <v>44622</v>
      </c>
      <c r="B1771" s="280" t="s">
        <v>193</v>
      </c>
      <c r="C1771" s="48">
        <f t="shared" si="2287"/>
        <v>0</v>
      </c>
      <c r="D1771" s="84">
        <f t="shared" si="2249"/>
        <v>0</v>
      </c>
      <c r="E1771" s="45">
        <f t="shared" si="2250"/>
        <v>0</v>
      </c>
      <c r="F1771" s="45">
        <f t="shared" si="2288"/>
        <v>0</v>
      </c>
      <c r="G1771" s="79">
        <f t="shared" si="2289"/>
        <v>0</v>
      </c>
      <c r="H1771" s="199"/>
      <c r="I1771" s="199"/>
      <c r="J1771" s="200"/>
      <c r="K1771" s="201"/>
      <c r="L1771" s="276"/>
      <c r="M1771" s="276"/>
      <c r="N1771" s="235">
        <v>57127</v>
      </c>
      <c r="O1771" s="235">
        <v>24812</v>
      </c>
      <c r="P1771" s="235">
        <v>38266</v>
      </c>
      <c r="Q1771" s="235"/>
      <c r="R1771" s="235">
        <v>47296</v>
      </c>
      <c r="S1771" s="236">
        <v>5392.6</v>
      </c>
      <c r="T1771" s="236">
        <v>752.6</v>
      </c>
      <c r="U1771" s="236"/>
      <c r="V1771" s="235">
        <v>82015</v>
      </c>
      <c r="W1771" s="235">
        <v>40512</v>
      </c>
      <c r="X1771" s="235">
        <v>30946</v>
      </c>
      <c r="Y1771" s="235">
        <v>92778</v>
      </c>
      <c r="Z1771" s="235">
        <v>52579</v>
      </c>
    </row>
    <row r="1772" spans="1:26" ht="18" customHeight="1" x14ac:dyDescent="0.2">
      <c r="A1772" s="279">
        <f t="shared" si="2286"/>
        <v>44623</v>
      </c>
      <c r="B1772" s="280" t="s">
        <v>194</v>
      </c>
      <c r="C1772" s="48">
        <f t="shared" si="2287"/>
        <v>4134</v>
      </c>
      <c r="D1772" s="84">
        <f t="shared" si="2249"/>
        <v>5832</v>
      </c>
      <c r="E1772" s="45">
        <f t="shared" si="2250"/>
        <v>1420</v>
      </c>
      <c r="F1772" s="45">
        <f t="shared" si="2288"/>
        <v>131</v>
      </c>
      <c r="G1772" s="79">
        <f t="shared" si="2289"/>
        <v>11517</v>
      </c>
      <c r="H1772" s="199"/>
      <c r="I1772" s="199"/>
      <c r="J1772" s="200"/>
      <c r="K1772" s="201"/>
      <c r="L1772" s="276"/>
      <c r="M1772" s="276"/>
      <c r="N1772" s="153">
        <v>57127</v>
      </c>
      <c r="O1772" s="153">
        <v>24812</v>
      </c>
      <c r="P1772" s="153">
        <v>38266</v>
      </c>
      <c r="Q1772" s="153"/>
      <c r="R1772" s="153">
        <v>47296</v>
      </c>
      <c r="S1772" s="154">
        <v>5392.6</v>
      </c>
      <c r="T1772" s="154">
        <v>752.6</v>
      </c>
      <c r="U1772" s="154"/>
      <c r="V1772" s="153">
        <v>82015</v>
      </c>
      <c r="W1772" s="153">
        <v>40512</v>
      </c>
      <c r="X1772" s="153">
        <v>30946</v>
      </c>
      <c r="Y1772" s="153">
        <v>92778</v>
      </c>
      <c r="Z1772" s="153">
        <v>52579</v>
      </c>
    </row>
    <row r="1773" spans="1:26" ht="18" customHeight="1" x14ac:dyDescent="0.2">
      <c r="A1773" s="279">
        <f t="shared" si="2286"/>
        <v>44624</v>
      </c>
      <c r="B1773" s="278" t="s">
        <v>189</v>
      </c>
      <c r="C1773" s="48">
        <f t="shared" si="2287"/>
        <v>0</v>
      </c>
      <c r="D1773" s="84">
        <f t="shared" si="2249"/>
        <v>0</v>
      </c>
      <c r="E1773" s="45">
        <f t="shared" si="2250"/>
        <v>0</v>
      </c>
      <c r="F1773" s="45">
        <f t="shared" si="2288"/>
        <v>0</v>
      </c>
      <c r="G1773" s="79">
        <f t="shared" si="2289"/>
        <v>0</v>
      </c>
      <c r="H1773" s="199"/>
      <c r="I1773" s="199"/>
      <c r="J1773" s="200"/>
      <c r="K1773" s="201"/>
      <c r="L1773" s="276"/>
      <c r="M1773" s="276"/>
      <c r="N1773" s="235">
        <v>57487</v>
      </c>
      <c r="O1773" s="235">
        <v>24917</v>
      </c>
      <c r="P1773" s="235">
        <v>38635</v>
      </c>
      <c r="Q1773" s="235"/>
      <c r="R1773" s="235">
        <v>47296</v>
      </c>
      <c r="S1773" s="236">
        <v>5409.1</v>
      </c>
      <c r="T1773" s="236">
        <v>755.1</v>
      </c>
      <c r="U1773" s="236"/>
      <c r="V1773" s="235">
        <v>82389</v>
      </c>
      <c r="W1773" s="235">
        <v>40577</v>
      </c>
      <c r="X1773" s="235">
        <v>31086</v>
      </c>
      <c r="Y1773" s="235">
        <v>92778</v>
      </c>
      <c r="Z1773" s="235">
        <v>52710</v>
      </c>
    </row>
    <row r="1774" spans="1:26" ht="18" customHeight="1" x14ac:dyDescent="0.2">
      <c r="A1774" s="279">
        <f t="shared" si="2286"/>
        <v>44625</v>
      </c>
      <c r="B1774" s="279" t="s">
        <v>195</v>
      </c>
      <c r="C1774" s="48">
        <f t="shared" si="2287"/>
        <v>0</v>
      </c>
      <c r="D1774" s="84">
        <f t="shared" si="2249"/>
        <v>0</v>
      </c>
      <c r="E1774" s="45">
        <f t="shared" si="2250"/>
        <v>0</v>
      </c>
      <c r="F1774" s="45">
        <f t="shared" si="2288"/>
        <v>0</v>
      </c>
      <c r="G1774" s="79">
        <f t="shared" si="2289"/>
        <v>0</v>
      </c>
      <c r="H1774" s="199"/>
      <c r="I1774" s="199"/>
      <c r="J1774" s="200"/>
      <c r="K1774" s="201"/>
      <c r="L1774" s="276"/>
      <c r="M1774" s="276"/>
      <c r="N1774" s="153">
        <v>57487</v>
      </c>
      <c r="O1774" s="153">
        <v>24917</v>
      </c>
      <c r="P1774" s="153">
        <v>38635</v>
      </c>
      <c r="Q1774" s="153"/>
      <c r="R1774" s="153">
        <v>47296</v>
      </c>
      <c r="S1774" s="154">
        <v>5409.1</v>
      </c>
      <c r="T1774" s="154">
        <v>755.1</v>
      </c>
      <c r="U1774" s="154"/>
      <c r="V1774" s="153">
        <v>82389</v>
      </c>
      <c r="W1774" s="153">
        <v>40577</v>
      </c>
      <c r="X1774" s="153">
        <v>31086</v>
      </c>
      <c r="Y1774" s="153">
        <v>92778</v>
      </c>
      <c r="Z1774" s="153">
        <v>52710</v>
      </c>
    </row>
    <row r="1775" spans="1:26" ht="18" customHeight="1" x14ac:dyDescent="0.2">
      <c r="A1775" s="279">
        <f t="shared" si="2286"/>
        <v>44626</v>
      </c>
      <c r="B1775" s="278" t="s">
        <v>190</v>
      </c>
      <c r="C1775" s="48">
        <f t="shared" si="2287"/>
        <v>4534</v>
      </c>
      <c r="D1775" s="84">
        <f t="shared" ref="D1775:D1838" si="2290">(N1776-N1775)*8+(P1776-P1775)*8+(R1776-R1775)*1</f>
        <v>4288</v>
      </c>
      <c r="E1775" s="45">
        <f t="shared" ref="E1775:E1838" si="2291">(S1776-S1775)*80+(T1776-T1775)*40</f>
        <v>1679.9999999999545</v>
      </c>
      <c r="F1775" s="45">
        <f t="shared" si="2288"/>
        <v>266</v>
      </c>
      <c r="G1775" s="79">
        <f t="shared" si="2289"/>
        <v>10767.999999999955</v>
      </c>
      <c r="H1775" s="199"/>
      <c r="I1775" s="199"/>
      <c r="J1775" s="200"/>
      <c r="K1775" s="201"/>
      <c r="L1775" s="276"/>
      <c r="M1775" s="276"/>
      <c r="N1775" s="153">
        <v>57487</v>
      </c>
      <c r="O1775" s="153">
        <v>24917</v>
      </c>
      <c r="P1775" s="153">
        <v>38635</v>
      </c>
      <c r="Q1775" s="153"/>
      <c r="R1775" s="153">
        <v>47296</v>
      </c>
      <c r="S1775" s="154">
        <v>5409.1</v>
      </c>
      <c r="T1775" s="154">
        <v>755.1</v>
      </c>
      <c r="U1775" s="154"/>
      <c r="V1775" s="153">
        <v>82389</v>
      </c>
      <c r="W1775" s="153">
        <v>40577</v>
      </c>
      <c r="X1775" s="153">
        <v>31086</v>
      </c>
      <c r="Y1775" s="153">
        <v>92778</v>
      </c>
      <c r="Z1775" s="153">
        <v>52710</v>
      </c>
    </row>
    <row r="1776" spans="1:26" ht="18" customHeight="1" x14ac:dyDescent="0.2">
      <c r="A1776" s="279">
        <f t="shared" si="2286"/>
        <v>44627</v>
      </c>
      <c r="B1776" s="280" t="s">
        <v>191</v>
      </c>
      <c r="C1776" s="48">
        <f t="shared" ref="C1776:C1782" si="2292">(V1777-V1776)*1+(W1777-W1776)*32+(X1777-X1776)*12+(Y1777-Y1776)*6</f>
        <v>2209</v>
      </c>
      <c r="D1776" s="84">
        <f t="shared" si="2290"/>
        <v>2632</v>
      </c>
      <c r="E1776" s="45">
        <f t="shared" si="2291"/>
        <v>1464.0000000000146</v>
      </c>
      <c r="F1776" s="45">
        <f t="shared" ref="F1776:F1782" si="2293">(Z1777-Z1776)*1</f>
        <v>111</v>
      </c>
      <c r="G1776" s="79">
        <f t="shared" ref="G1776:G1782" si="2294">C1776+D1776+F1776+E1776</f>
        <v>6416.0000000000146</v>
      </c>
      <c r="H1776" s="199"/>
      <c r="I1776" s="199"/>
      <c r="J1776" s="200"/>
      <c r="K1776" s="201"/>
      <c r="L1776" s="276"/>
      <c r="M1776" s="276"/>
      <c r="N1776" s="235">
        <v>57627</v>
      </c>
      <c r="O1776" s="235">
        <v>25010</v>
      </c>
      <c r="P1776" s="235">
        <v>39031</v>
      </c>
      <c r="Q1776" s="235"/>
      <c r="R1776" s="235">
        <v>47296</v>
      </c>
      <c r="S1776" s="236">
        <v>5429.7</v>
      </c>
      <c r="T1776" s="236">
        <v>755.9</v>
      </c>
      <c r="U1776" s="236"/>
      <c r="V1776" s="235">
        <v>82939</v>
      </c>
      <c r="W1776" s="235">
        <v>40649</v>
      </c>
      <c r="X1776" s="235">
        <v>31226</v>
      </c>
      <c r="Y1776" s="235">
        <v>92778</v>
      </c>
      <c r="Z1776" s="235">
        <v>52976</v>
      </c>
    </row>
    <row r="1777" spans="1:26" ht="18" customHeight="1" x14ac:dyDescent="0.2">
      <c r="A1777" s="279">
        <f t="shared" si="2286"/>
        <v>44628</v>
      </c>
      <c r="B1777" s="280" t="s">
        <v>192</v>
      </c>
      <c r="C1777" s="48">
        <f t="shared" si="2292"/>
        <v>2141</v>
      </c>
      <c r="D1777" s="84">
        <f t="shared" si="2290"/>
        <v>2600</v>
      </c>
      <c r="E1777" s="45">
        <f t="shared" si="2291"/>
        <v>1932.0000000000027</v>
      </c>
      <c r="F1777" s="45">
        <f t="shared" si="2293"/>
        <v>104</v>
      </c>
      <c r="G1777" s="79">
        <f t="shared" si="2294"/>
        <v>6777.0000000000027</v>
      </c>
      <c r="H1777" s="199"/>
      <c r="I1777" s="199"/>
      <c r="J1777" s="200"/>
      <c r="K1777" s="201"/>
      <c r="L1777" s="276"/>
      <c r="M1777" s="276"/>
      <c r="N1777" s="235">
        <v>57767</v>
      </c>
      <c r="O1777" s="235">
        <v>25062</v>
      </c>
      <c r="P1777" s="235">
        <v>39220</v>
      </c>
      <c r="Q1777" s="235"/>
      <c r="R1777" s="235">
        <v>47296</v>
      </c>
      <c r="S1777" s="236">
        <v>5447.5</v>
      </c>
      <c r="T1777" s="236">
        <v>756.9</v>
      </c>
      <c r="U1777" s="236"/>
      <c r="V1777" s="235">
        <v>83136</v>
      </c>
      <c r="W1777" s="235">
        <v>40680</v>
      </c>
      <c r="X1777" s="235">
        <v>31311</v>
      </c>
      <c r="Y1777" s="235">
        <v>92778</v>
      </c>
      <c r="Z1777" s="235">
        <v>53087</v>
      </c>
    </row>
    <row r="1778" spans="1:26" ht="18" customHeight="1" x14ac:dyDescent="0.2">
      <c r="A1778" s="279">
        <f t="shared" si="2286"/>
        <v>44629</v>
      </c>
      <c r="B1778" s="280" t="s">
        <v>193</v>
      </c>
      <c r="C1778" s="48">
        <f t="shared" si="2292"/>
        <v>2151</v>
      </c>
      <c r="D1778" s="84">
        <f t="shared" si="2290"/>
        <v>2752</v>
      </c>
      <c r="E1778" s="45">
        <f t="shared" si="2291"/>
        <v>1987.99999999997</v>
      </c>
      <c r="F1778" s="45">
        <f t="shared" si="2293"/>
        <v>93</v>
      </c>
      <c r="G1778" s="79">
        <f t="shared" si="2294"/>
        <v>6983.99999999997</v>
      </c>
      <c r="H1778" s="199"/>
      <c r="I1778" s="199"/>
      <c r="J1778" s="200"/>
      <c r="K1778" s="201"/>
      <c r="L1778" s="276"/>
      <c r="M1778" s="276"/>
      <c r="N1778" s="235">
        <v>57907</v>
      </c>
      <c r="O1778" s="235">
        <v>25114</v>
      </c>
      <c r="P1778" s="235">
        <v>39405</v>
      </c>
      <c r="Q1778" s="235"/>
      <c r="R1778" s="235">
        <v>47296</v>
      </c>
      <c r="S1778" s="236">
        <v>5466</v>
      </c>
      <c r="T1778" s="236">
        <v>768.2</v>
      </c>
      <c r="U1778" s="236"/>
      <c r="V1778" s="235">
        <v>83333</v>
      </c>
      <c r="W1778" s="235">
        <v>40710</v>
      </c>
      <c r="X1778" s="235">
        <v>31393</v>
      </c>
      <c r="Y1778" s="235">
        <v>92778</v>
      </c>
      <c r="Z1778" s="235">
        <v>53191</v>
      </c>
    </row>
    <row r="1779" spans="1:26" ht="18" customHeight="1" x14ac:dyDescent="0.2">
      <c r="A1779" s="279">
        <f t="shared" si="2286"/>
        <v>44630</v>
      </c>
      <c r="B1779" s="280" t="s">
        <v>194</v>
      </c>
      <c r="C1779" s="48">
        <f t="shared" si="2292"/>
        <v>2160</v>
      </c>
      <c r="D1779" s="84">
        <f t="shared" si="2290"/>
        <v>2496</v>
      </c>
      <c r="E1779" s="45">
        <f t="shared" si="2291"/>
        <v>1956.0000000000582</v>
      </c>
      <c r="F1779" s="45">
        <f t="shared" si="2293"/>
        <v>87</v>
      </c>
      <c r="G1779" s="79">
        <f t="shared" si="2294"/>
        <v>6699.0000000000582</v>
      </c>
      <c r="H1779" s="199"/>
      <c r="I1779" s="199"/>
      <c r="J1779" s="200"/>
      <c r="K1779" s="201"/>
      <c r="L1779" s="276"/>
      <c r="M1779" s="276"/>
      <c r="N1779" s="235">
        <v>58127</v>
      </c>
      <c r="O1779" s="235">
        <v>25200</v>
      </c>
      <c r="P1779" s="235">
        <v>39529</v>
      </c>
      <c r="Q1779" s="235"/>
      <c r="R1779" s="235">
        <v>47296</v>
      </c>
      <c r="S1779" s="236">
        <v>5485.9</v>
      </c>
      <c r="T1779" s="236">
        <v>778.1</v>
      </c>
      <c r="U1779" s="236"/>
      <c r="V1779" s="235">
        <v>83536</v>
      </c>
      <c r="W1779" s="235">
        <v>40742</v>
      </c>
      <c r="X1779" s="235">
        <v>31470</v>
      </c>
      <c r="Y1779" s="235">
        <v>92778</v>
      </c>
      <c r="Z1779" s="235">
        <v>53284</v>
      </c>
    </row>
    <row r="1780" spans="1:26" ht="18" customHeight="1" x14ac:dyDescent="0.2">
      <c r="A1780" s="279">
        <f t="shared" si="2286"/>
        <v>44631</v>
      </c>
      <c r="B1780" s="278" t="s">
        <v>189</v>
      </c>
      <c r="C1780" s="48">
        <f t="shared" si="2292"/>
        <v>0</v>
      </c>
      <c r="D1780" s="84">
        <f t="shared" si="2290"/>
        <v>0</v>
      </c>
      <c r="E1780" s="45">
        <f t="shared" si="2291"/>
        <v>0</v>
      </c>
      <c r="F1780" s="45">
        <f t="shared" si="2293"/>
        <v>0</v>
      </c>
      <c r="G1780" s="79">
        <f t="shared" si="2294"/>
        <v>0</v>
      </c>
      <c r="H1780" s="199"/>
      <c r="I1780" s="199"/>
      <c r="J1780" s="200"/>
      <c r="K1780" s="201"/>
      <c r="L1780" s="276"/>
      <c r="M1780" s="276"/>
      <c r="N1780" s="235">
        <v>58257</v>
      </c>
      <c r="O1780" s="235">
        <v>25251</v>
      </c>
      <c r="P1780" s="235">
        <v>39711</v>
      </c>
      <c r="Q1780" s="235"/>
      <c r="R1780" s="235">
        <v>47296</v>
      </c>
      <c r="S1780" s="236">
        <v>5505.1</v>
      </c>
      <c r="T1780" s="236">
        <v>788.6</v>
      </c>
      <c r="U1780" s="236"/>
      <c r="V1780" s="235">
        <v>83744</v>
      </c>
      <c r="W1780" s="235">
        <v>40773</v>
      </c>
      <c r="X1780" s="235">
        <v>31550</v>
      </c>
      <c r="Y1780" s="235">
        <v>92778</v>
      </c>
      <c r="Z1780" s="235">
        <v>53371</v>
      </c>
    </row>
    <row r="1781" spans="1:26" ht="18" customHeight="1" x14ac:dyDescent="0.2">
      <c r="A1781" s="279">
        <f t="shared" si="2286"/>
        <v>44632</v>
      </c>
      <c r="B1781" s="279" t="s">
        <v>195</v>
      </c>
      <c r="C1781" s="48">
        <f t="shared" si="2292"/>
        <v>0</v>
      </c>
      <c r="D1781" s="84">
        <f t="shared" si="2290"/>
        <v>0</v>
      </c>
      <c r="E1781" s="45">
        <f t="shared" si="2291"/>
        <v>0</v>
      </c>
      <c r="F1781" s="45">
        <f t="shared" si="2293"/>
        <v>0</v>
      </c>
      <c r="G1781" s="79">
        <f t="shared" si="2294"/>
        <v>0</v>
      </c>
      <c r="H1781" s="199"/>
      <c r="I1781" s="199"/>
      <c r="J1781" s="200"/>
      <c r="K1781" s="201"/>
      <c r="L1781" s="276"/>
      <c r="M1781" s="276"/>
      <c r="N1781" s="153">
        <v>58257</v>
      </c>
      <c r="O1781" s="153">
        <v>25251</v>
      </c>
      <c r="P1781" s="153">
        <v>39711</v>
      </c>
      <c r="Q1781" s="153"/>
      <c r="R1781" s="153">
        <v>47296</v>
      </c>
      <c r="S1781" s="154">
        <v>5505.1</v>
      </c>
      <c r="T1781" s="154">
        <v>788.6</v>
      </c>
      <c r="U1781" s="154"/>
      <c r="V1781" s="153">
        <v>83744</v>
      </c>
      <c r="W1781" s="153">
        <v>40773</v>
      </c>
      <c r="X1781" s="153">
        <v>31550</v>
      </c>
      <c r="Y1781" s="153">
        <v>92778</v>
      </c>
      <c r="Z1781" s="153">
        <v>53371</v>
      </c>
    </row>
    <row r="1782" spans="1:26" ht="18" customHeight="1" x14ac:dyDescent="0.2">
      <c r="A1782" s="279">
        <f t="shared" si="2286"/>
        <v>44633</v>
      </c>
      <c r="B1782" s="278" t="s">
        <v>190</v>
      </c>
      <c r="C1782" s="48">
        <f t="shared" si="2292"/>
        <v>2929</v>
      </c>
      <c r="D1782" s="84">
        <f t="shared" si="2290"/>
        <v>5168</v>
      </c>
      <c r="E1782" s="45">
        <f t="shared" si="2291"/>
        <v>2595.9999999999718</v>
      </c>
      <c r="F1782" s="45">
        <f t="shared" si="2293"/>
        <v>144</v>
      </c>
      <c r="G1782" s="79">
        <f t="shared" si="2294"/>
        <v>10836.999999999971</v>
      </c>
      <c r="H1782" s="199"/>
      <c r="I1782" s="199"/>
      <c r="J1782" s="200"/>
      <c r="K1782" s="201"/>
      <c r="L1782" s="276"/>
      <c r="M1782" s="276"/>
      <c r="N1782" s="153">
        <v>58257</v>
      </c>
      <c r="O1782" s="153">
        <v>25251</v>
      </c>
      <c r="P1782" s="153">
        <v>39711</v>
      </c>
      <c r="Q1782" s="153"/>
      <c r="R1782" s="153">
        <v>47296</v>
      </c>
      <c r="S1782" s="154">
        <v>5505.1</v>
      </c>
      <c r="T1782" s="154">
        <v>788.6</v>
      </c>
      <c r="U1782" s="154"/>
      <c r="V1782" s="153">
        <v>83744</v>
      </c>
      <c r="W1782" s="153">
        <v>40773</v>
      </c>
      <c r="X1782" s="153">
        <v>31550</v>
      </c>
      <c r="Y1782" s="153">
        <v>92778</v>
      </c>
      <c r="Z1782" s="153">
        <v>53371</v>
      </c>
    </row>
    <row r="1783" spans="1:26" ht="18" customHeight="1" x14ac:dyDescent="0.2">
      <c r="A1783" s="279">
        <f t="shared" si="2286"/>
        <v>44634</v>
      </c>
      <c r="B1783" s="280" t="s">
        <v>191</v>
      </c>
      <c r="C1783" s="48">
        <f t="shared" ref="C1783:C1789" si="2295">(V1784-V1783)*1+(W1784-W1783)*32+(X1784-X1783)*12+(Y1784-Y1783)*6</f>
        <v>2555</v>
      </c>
      <c r="D1783" s="84">
        <f t="shared" si="2290"/>
        <v>2424</v>
      </c>
      <c r="E1783" s="45">
        <f t="shared" si="2291"/>
        <v>1800</v>
      </c>
      <c r="F1783" s="45">
        <f t="shared" ref="F1783:F1789" si="2296">(Z1784-Z1783)*1</f>
        <v>42</v>
      </c>
      <c r="G1783" s="79">
        <f t="shared" ref="G1783:G1789" si="2297">C1783+D1783+F1783+E1783</f>
        <v>6821</v>
      </c>
      <c r="H1783" s="199"/>
      <c r="I1783" s="199"/>
      <c r="J1783" s="200"/>
      <c r="K1783" s="201"/>
      <c r="L1783" s="276"/>
      <c r="M1783" s="276"/>
      <c r="N1783" s="235">
        <v>58477</v>
      </c>
      <c r="O1783" s="235">
        <v>25336</v>
      </c>
      <c r="P1783" s="235">
        <v>40137</v>
      </c>
      <c r="Q1783" s="235"/>
      <c r="R1783" s="235">
        <v>47296</v>
      </c>
      <c r="S1783" s="236">
        <v>5530</v>
      </c>
      <c r="T1783" s="236">
        <v>803.7</v>
      </c>
      <c r="U1783" s="236"/>
      <c r="V1783" s="235">
        <v>84181</v>
      </c>
      <c r="W1783" s="235">
        <v>40822</v>
      </c>
      <c r="X1783" s="235">
        <v>31627</v>
      </c>
      <c r="Y1783" s="235">
        <v>92778</v>
      </c>
      <c r="Z1783" s="235">
        <v>53515</v>
      </c>
    </row>
    <row r="1784" spans="1:26" ht="18" customHeight="1" x14ac:dyDescent="0.2">
      <c r="A1784" s="279">
        <f t="shared" si="2286"/>
        <v>44635</v>
      </c>
      <c r="B1784" s="280" t="s">
        <v>192</v>
      </c>
      <c r="C1784" s="48">
        <f t="shared" si="2295"/>
        <v>2507</v>
      </c>
      <c r="D1784" s="84">
        <f t="shared" si="2290"/>
        <v>2344</v>
      </c>
      <c r="E1784" s="45">
        <f t="shared" si="2291"/>
        <v>1740</v>
      </c>
      <c r="F1784" s="45">
        <f t="shared" si="2296"/>
        <v>35</v>
      </c>
      <c r="G1784" s="79">
        <f t="shared" si="2297"/>
        <v>6626</v>
      </c>
      <c r="H1784" s="199"/>
      <c r="I1784" s="199"/>
      <c r="J1784" s="200"/>
      <c r="K1784" s="201"/>
      <c r="L1784" s="276"/>
      <c r="M1784" s="276"/>
      <c r="N1784" s="235">
        <v>58607</v>
      </c>
      <c r="O1784" s="235">
        <v>25386</v>
      </c>
      <c r="P1784" s="235">
        <v>40310</v>
      </c>
      <c r="Q1784" s="235"/>
      <c r="R1784" s="235">
        <v>47296</v>
      </c>
      <c r="S1784" s="236">
        <v>5547.5</v>
      </c>
      <c r="T1784" s="236">
        <v>813.7</v>
      </c>
      <c r="U1784" s="236"/>
      <c r="V1784" s="235">
        <v>84416</v>
      </c>
      <c r="W1784" s="235">
        <v>40863</v>
      </c>
      <c r="X1784" s="235">
        <v>31711</v>
      </c>
      <c r="Y1784" s="235">
        <v>92778</v>
      </c>
      <c r="Z1784" s="235">
        <v>53557</v>
      </c>
    </row>
    <row r="1785" spans="1:26" ht="18" customHeight="1" x14ac:dyDescent="0.2">
      <c r="A1785" s="279">
        <f t="shared" si="2286"/>
        <v>44636</v>
      </c>
      <c r="B1785" s="280" t="s">
        <v>193</v>
      </c>
      <c r="C1785" s="48">
        <f t="shared" si="2295"/>
        <v>2620</v>
      </c>
      <c r="D1785" s="84">
        <f t="shared" si="2290"/>
        <v>2352</v>
      </c>
      <c r="E1785" s="45">
        <f t="shared" si="2291"/>
        <v>904.00000000001455</v>
      </c>
      <c r="F1785" s="45">
        <f t="shared" si="2296"/>
        <v>66</v>
      </c>
      <c r="G1785" s="79">
        <f t="shared" si="2297"/>
        <v>5942.0000000000146</v>
      </c>
      <c r="H1785" s="199"/>
      <c r="I1785" s="199"/>
      <c r="J1785" s="200"/>
      <c r="K1785" s="201"/>
      <c r="L1785" s="276"/>
      <c r="M1785" s="276"/>
      <c r="N1785" s="235">
        <v>58731</v>
      </c>
      <c r="O1785" s="235">
        <v>25436</v>
      </c>
      <c r="P1785" s="235">
        <v>40479</v>
      </c>
      <c r="Q1785" s="235"/>
      <c r="R1785" s="235">
        <v>47296</v>
      </c>
      <c r="S1785" s="236">
        <v>5564.5</v>
      </c>
      <c r="T1785" s="236">
        <v>823.2</v>
      </c>
      <c r="U1785" s="236"/>
      <c r="V1785" s="235">
        <v>84651</v>
      </c>
      <c r="W1785" s="235">
        <v>40904</v>
      </c>
      <c r="X1785" s="235">
        <v>31791</v>
      </c>
      <c r="Y1785" s="235">
        <v>92778</v>
      </c>
      <c r="Z1785" s="235">
        <v>53592</v>
      </c>
    </row>
    <row r="1786" spans="1:26" ht="18" customHeight="1" x14ac:dyDescent="0.2">
      <c r="A1786" s="279">
        <f t="shared" si="2286"/>
        <v>44637</v>
      </c>
      <c r="B1786" s="280" t="s">
        <v>194</v>
      </c>
      <c r="C1786" s="48">
        <f t="shared" si="2295"/>
        <v>2460</v>
      </c>
      <c r="D1786" s="84">
        <f t="shared" si="2290"/>
        <v>2176</v>
      </c>
      <c r="E1786" s="45">
        <f t="shared" si="2291"/>
        <v>771.99999999998454</v>
      </c>
      <c r="F1786" s="45">
        <f t="shared" si="2296"/>
        <v>52</v>
      </c>
      <c r="G1786" s="79">
        <f t="shared" si="2297"/>
        <v>5459.9999999999845</v>
      </c>
      <c r="H1786" s="199"/>
      <c r="I1786" s="199"/>
      <c r="J1786" s="200"/>
      <c r="K1786" s="201"/>
      <c r="L1786" s="276"/>
      <c r="M1786" s="276"/>
      <c r="N1786" s="235">
        <v>58857</v>
      </c>
      <c r="O1786" s="235">
        <v>25480</v>
      </c>
      <c r="P1786" s="235">
        <v>40647</v>
      </c>
      <c r="Q1786" s="235"/>
      <c r="R1786" s="235">
        <v>47296</v>
      </c>
      <c r="S1786" s="236">
        <v>5575.3</v>
      </c>
      <c r="T1786" s="236">
        <v>824.2</v>
      </c>
      <c r="U1786" s="236"/>
      <c r="V1786" s="235">
        <v>84891</v>
      </c>
      <c r="W1786" s="235">
        <v>40948</v>
      </c>
      <c r="X1786" s="235">
        <v>31872</v>
      </c>
      <c r="Y1786" s="235">
        <v>92778</v>
      </c>
      <c r="Z1786" s="235">
        <v>53658</v>
      </c>
    </row>
    <row r="1787" spans="1:26" ht="18" customHeight="1" x14ac:dyDescent="0.2">
      <c r="A1787" s="279">
        <f t="shared" si="2286"/>
        <v>44638</v>
      </c>
      <c r="B1787" s="278" t="s">
        <v>189</v>
      </c>
      <c r="C1787" s="48">
        <f t="shared" si="2295"/>
        <v>0</v>
      </c>
      <c r="D1787" s="84">
        <f t="shared" si="2290"/>
        <v>0</v>
      </c>
      <c r="E1787" s="45">
        <f t="shared" si="2291"/>
        <v>0</v>
      </c>
      <c r="F1787" s="45">
        <f t="shared" si="2296"/>
        <v>0</v>
      </c>
      <c r="G1787" s="79">
        <f t="shared" si="2297"/>
        <v>0</v>
      </c>
      <c r="H1787" s="199"/>
      <c r="I1787" s="199"/>
      <c r="J1787" s="200"/>
      <c r="K1787" s="201"/>
      <c r="L1787" s="276"/>
      <c r="M1787" s="276"/>
      <c r="N1787" s="235">
        <v>58967</v>
      </c>
      <c r="O1787" s="235">
        <v>25523</v>
      </c>
      <c r="P1787" s="235">
        <v>40809</v>
      </c>
      <c r="Q1787" s="235"/>
      <c r="R1787" s="235">
        <v>47296</v>
      </c>
      <c r="S1787" s="236">
        <v>5583.5</v>
      </c>
      <c r="T1787" s="236">
        <v>827.1</v>
      </c>
      <c r="U1787" s="236"/>
      <c r="V1787" s="235">
        <v>85139</v>
      </c>
      <c r="W1787" s="235">
        <v>40989</v>
      </c>
      <c r="X1787" s="235">
        <v>31947</v>
      </c>
      <c r="Y1787" s="235">
        <v>92778</v>
      </c>
      <c r="Z1787" s="235">
        <v>53710</v>
      </c>
    </row>
    <row r="1788" spans="1:26" ht="18" customHeight="1" x14ac:dyDescent="0.2">
      <c r="A1788" s="279">
        <f t="shared" si="2286"/>
        <v>44639</v>
      </c>
      <c r="B1788" s="279" t="s">
        <v>195</v>
      </c>
      <c r="C1788" s="48">
        <f t="shared" si="2295"/>
        <v>0</v>
      </c>
      <c r="D1788" s="84">
        <f t="shared" si="2290"/>
        <v>0</v>
      </c>
      <c r="E1788" s="45">
        <f t="shared" si="2291"/>
        <v>0</v>
      </c>
      <c r="F1788" s="45">
        <f t="shared" si="2296"/>
        <v>0</v>
      </c>
      <c r="G1788" s="79">
        <f t="shared" si="2297"/>
        <v>0</v>
      </c>
      <c r="H1788" s="199"/>
      <c r="I1788" s="199"/>
      <c r="J1788" s="200"/>
      <c r="K1788" s="201"/>
      <c r="L1788" s="276"/>
      <c r="M1788" s="276"/>
      <c r="N1788" s="153">
        <v>58967</v>
      </c>
      <c r="O1788" s="153">
        <v>25523</v>
      </c>
      <c r="P1788" s="153">
        <v>40809</v>
      </c>
      <c r="Q1788" s="153"/>
      <c r="R1788" s="153">
        <v>47296</v>
      </c>
      <c r="S1788" s="154">
        <v>5583.5</v>
      </c>
      <c r="T1788" s="154">
        <v>827.1</v>
      </c>
      <c r="U1788" s="154"/>
      <c r="V1788" s="153">
        <v>85139</v>
      </c>
      <c r="W1788" s="153">
        <v>40989</v>
      </c>
      <c r="X1788" s="153">
        <v>31947</v>
      </c>
      <c r="Y1788" s="153">
        <v>92778</v>
      </c>
      <c r="Z1788" s="153">
        <v>53710</v>
      </c>
    </row>
    <row r="1789" spans="1:26" ht="18" customHeight="1" x14ac:dyDescent="0.2">
      <c r="A1789" s="279">
        <f t="shared" si="2286"/>
        <v>44640</v>
      </c>
      <c r="B1789" s="278" t="s">
        <v>190</v>
      </c>
      <c r="C1789" s="48">
        <f t="shared" si="2295"/>
        <v>3137</v>
      </c>
      <c r="D1789" s="84">
        <f t="shared" si="2290"/>
        <v>4240</v>
      </c>
      <c r="E1789" s="45">
        <f t="shared" si="2291"/>
        <v>2168.0000000000155</v>
      </c>
      <c r="F1789" s="45">
        <f t="shared" si="2296"/>
        <v>220</v>
      </c>
      <c r="G1789" s="79">
        <f t="shared" si="2297"/>
        <v>9765.0000000000146</v>
      </c>
      <c r="H1789" s="199"/>
      <c r="I1789" s="199"/>
      <c r="J1789" s="200"/>
      <c r="K1789" s="201"/>
      <c r="L1789" s="276"/>
      <c r="M1789" s="276"/>
      <c r="N1789" s="153">
        <v>58967</v>
      </c>
      <c r="O1789" s="153">
        <v>25523</v>
      </c>
      <c r="P1789" s="153">
        <v>40809</v>
      </c>
      <c r="Q1789" s="153"/>
      <c r="R1789" s="153">
        <v>47296</v>
      </c>
      <c r="S1789" s="154">
        <v>5583.5</v>
      </c>
      <c r="T1789" s="154">
        <v>827.1</v>
      </c>
      <c r="U1789" s="154"/>
      <c r="V1789" s="153">
        <v>85139</v>
      </c>
      <c r="W1789" s="153">
        <v>40989</v>
      </c>
      <c r="X1789" s="153">
        <v>31947</v>
      </c>
      <c r="Y1789" s="153">
        <v>92778</v>
      </c>
      <c r="Z1789" s="153">
        <v>53710</v>
      </c>
    </row>
    <row r="1790" spans="1:26" ht="18" customHeight="1" x14ac:dyDescent="0.2">
      <c r="A1790" s="279">
        <f t="shared" si="2286"/>
        <v>44641</v>
      </c>
      <c r="B1790" s="280" t="s">
        <v>191</v>
      </c>
      <c r="C1790" s="48">
        <f t="shared" ref="C1790:C1796" si="2298">(V1791-V1790)*1+(W1791-W1790)*32+(X1791-X1790)*12+(Y1791-Y1790)*6</f>
        <v>2402</v>
      </c>
      <c r="D1790" s="84">
        <f t="shared" si="2290"/>
        <v>2096</v>
      </c>
      <c r="E1790" s="45">
        <f t="shared" si="2291"/>
        <v>1471.9999999999845</v>
      </c>
      <c r="F1790" s="45">
        <f t="shared" ref="F1790:F1796" si="2299">(Z1791-Z1790)*1</f>
        <v>74</v>
      </c>
      <c r="G1790" s="79">
        <f t="shared" ref="G1790:G1796" si="2300">C1790+D1790+F1790+E1790</f>
        <v>6043.9999999999845</v>
      </c>
      <c r="H1790" s="199"/>
      <c r="I1790" s="199"/>
      <c r="J1790" s="200"/>
      <c r="K1790" s="201"/>
      <c r="L1790" s="276"/>
      <c r="M1790" s="276"/>
      <c r="N1790" s="235">
        <v>59257</v>
      </c>
      <c r="O1790" s="235">
        <v>25635</v>
      </c>
      <c r="P1790" s="235">
        <v>41049</v>
      </c>
      <c r="Q1790" s="235"/>
      <c r="R1790" s="235">
        <v>47296</v>
      </c>
      <c r="S1790" s="236">
        <v>5603.3</v>
      </c>
      <c r="T1790" s="236">
        <v>841.7</v>
      </c>
      <c r="U1790" s="236"/>
      <c r="V1790" s="235">
        <v>85588</v>
      </c>
      <c r="W1790" s="235">
        <v>41040</v>
      </c>
      <c r="X1790" s="235">
        <v>32035</v>
      </c>
      <c r="Y1790" s="235">
        <v>92778</v>
      </c>
      <c r="Z1790" s="235">
        <v>53930</v>
      </c>
    </row>
    <row r="1791" spans="1:26" ht="18" customHeight="1" x14ac:dyDescent="0.2">
      <c r="A1791" s="279">
        <f t="shared" si="2286"/>
        <v>44642</v>
      </c>
      <c r="B1791" s="280" t="s">
        <v>192</v>
      </c>
      <c r="C1791" s="48">
        <f t="shared" si="2298"/>
        <v>2336</v>
      </c>
      <c r="D1791" s="84">
        <f t="shared" si="2290"/>
        <v>2328</v>
      </c>
      <c r="E1791" s="45">
        <f t="shared" si="2291"/>
        <v>1371.9999999999709</v>
      </c>
      <c r="F1791" s="45">
        <f t="shared" si="2299"/>
        <v>85</v>
      </c>
      <c r="G1791" s="79">
        <f t="shared" si="2300"/>
        <v>6120.9999999999709</v>
      </c>
      <c r="H1791" s="199"/>
      <c r="I1791" s="199"/>
      <c r="J1791" s="200"/>
      <c r="K1791" s="201"/>
      <c r="L1791" s="276"/>
      <c r="M1791" s="276"/>
      <c r="N1791" s="235">
        <v>59357</v>
      </c>
      <c r="O1791" s="235">
        <v>25675</v>
      </c>
      <c r="P1791" s="235">
        <v>41211</v>
      </c>
      <c r="Q1791" s="235"/>
      <c r="R1791" s="235">
        <v>47296</v>
      </c>
      <c r="S1791" s="236">
        <v>5619.5</v>
      </c>
      <c r="T1791" s="236">
        <v>846.1</v>
      </c>
      <c r="U1791" s="236"/>
      <c r="V1791" s="235">
        <v>85810</v>
      </c>
      <c r="W1791" s="235">
        <v>41077</v>
      </c>
      <c r="X1791" s="235">
        <v>32118</v>
      </c>
      <c r="Y1791" s="235">
        <v>92778</v>
      </c>
      <c r="Z1791" s="235">
        <v>54004</v>
      </c>
    </row>
    <row r="1792" spans="1:26" ht="18" customHeight="1" x14ac:dyDescent="0.2">
      <c r="A1792" s="279">
        <f t="shared" si="2286"/>
        <v>44643</v>
      </c>
      <c r="B1792" s="280" t="s">
        <v>193</v>
      </c>
      <c r="C1792" s="48">
        <f t="shared" si="2298"/>
        <v>2106</v>
      </c>
      <c r="D1792" s="84">
        <f t="shared" si="2290"/>
        <v>2472</v>
      </c>
      <c r="E1792" s="45">
        <f t="shared" si="2291"/>
        <v>1504.0000000000555</v>
      </c>
      <c r="F1792" s="45">
        <f t="shared" si="2299"/>
        <v>106</v>
      </c>
      <c r="G1792" s="79">
        <f t="shared" si="2300"/>
        <v>6188.0000000000555</v>
      </c>
      <c r="H1792" s="199"/>
      <c r="I1792" s="199"/>
      <c r="J1792" s="200"/>
      <c r="K1792" s="201"/>
      <c r="L1792" s="276"/>
      <c r="M1792" s="276"/>
      <c r="N1792" s="235">
        <v>59477</v>
      </c>
      <c r="O1792" s="235">
        <v>25722</v>
      </c>
      <c r="P1792" s="235">
        <v>41382</v>
      </c>
      <c r="Q1792" s="235"/>
      <c r="R1792" s="235">
        <v>47296</v>
      </c>
      <c r="S1792" s="236">
        <v>5635.4</v>
      </c>
      <c r="T1792" s="236">
        <v>848.6</v>
      </c>
      <c r="U1792" s="236"/>
      <c r="V1792" s="235">
        <v>86010</v>
      </c>
      <c r="W1792" s="235">
        <v>41110</v>
      </c>
      <c r="X1792" s="235">
        <v>32208</v>
      </c>
      <c r="Y1792" s="235">
        <v>92778</v>
      </c>
      <c r="Z1792" s="235">
        <v>54089</v>
      </c>
    </row>
    <row r="1793" spans="1:26" ht="18" customHeight="1" x14ac:dyDescent="0.2">
      <c r="A1793" s="279">
        <f t="shared" si="2286"/>
        <v>44644</v>
      </c>
      <c r="B1793" s="280" t="s">
        <v>194</v>
      </c>
      <c r="C1793" s="48">
        <f t="shared" si="2298"/>
        <v>2464</v>
      </c>
      <c r="D1793" s="84">
        <f t="shared" si="2290"/>
        <v>2480</v>
      </c>
      <c r="E1793" s="45">
        <f t="shared" si="2291"/>
        <v>1503.9999999999736</v>
      </c>
      <c r="F1793" s="45">
        <f t="shared" si="2299"/>
        <v>105</v>
      </c>
      <c r="G1793" s="79">
        <f t="shared" si="2300"/>
        <v>6552.9999999999736</v>
      </c>
      <c r="H1793" s="199"/>
      <c r="I1793" s="199"/>
      <c r="J1793" s="200"/>
      <c r="K1793" s="201"/>
      <c r="L1793" s="276"/>
      <c r="M1793" s="276"/>
      <c r="N1793" s="235">
        <v>59607</v>
      </c>
      <c r="O1793" s="235">
        <v>25773</v>
      </c>
      <c r="P1793" s="235">
        <v>41561</v>
      </c>
      <c r="Q1793" s="235"/>
      <c r="R1793" s="235">
        <v>47296</v>
      </c>
      <c r="S1793" s="236">
        <v>5653.1</v>
      </c>
      <c r="T1793" s="236">
        <v>850.8</v>
      </c>
      <c r="U1793" s="236"/>
      <c r="V1793" s="235">
        <v>86204</v>
      </c>
      <c r="W1793" s="235">
        <v>41142</v>
      </c>
      <c r="X1793" s="235">
        <v>32282</v>
      </c>
      <c r="Y1793" s="235">
        <v>92778</v>
      </c>
      <c r="Z1793" s="235">
        <v>54195</v>
      </c>
    </row>
    <row r="1794" spans="1:26" ht="18" customHeight="1" x14ac:dyDescent="0.2">
      <c r="A1794" s="279">
        <f t="shared" si="2286"/>
        <v>44645</v>
      </c>
      <c r="B1794" s="278" t="s">
        <v>189</v>
      </c>
      <c r="C1794" s="48">
        <f t="shared" si="2298"/>
        <v>0</v>
      </c>
      <c r="D1794" s="84">
        <f t="shared" si="2290"/>
        <v>0</v>
      </c>
      <c r="E1794" s="45">
        <f t="shared" si="2291"/>
        <v>0</v>
      </c>
      <c r="F1794" s="45">
        <f t="shared" si="2299"/>
        <v>0</v>
      </c>
      <c r="G1794" s="79">
        <f t="shared" si="2300"/>
        <v>0</v>
      </c>
      <c r="H1794" s="199"/>
      <c r="I1794" s="199"/>
      <c r="J1794" s="200"/>
      <c r="K1794" s="201"/>
      <c r="L1794" s="276"/>
      <c r="M1794" s="276"/>
      <c r="N1794" s="235">
        <v>59737</v>
      </c>
      <c r="O1794" s="235">
        <v>25822</v>
      </c>
      <c r="P1794" s="235">
        <v>41741</v>
      </c>
      <c r="Q1794" s="235"/>
      <c r="R1794" s="235">
        <v>47296</v>
      </c>
      <c r="S1794" s="236">
        <v>5669</v>
      </c>
      <c r="T1794" s="236">
        <v>856.6</v>
      </c>
      <c r="U1794" s="236"/>
      <c r="V1794" s="235">
        <v>86420</v>
      </c>
      <c r="W1794" s="235">
        <v>41174</v>
      </c>
      <c r="X1794" s="235">
        <v>32384</v>
      </c>
      <c r="Y1794" s="235">
        <v>92778</v>
      </c>
      <c r="Z1794" s="235">
        <v>54300</v>
      </c>
    </row>
    <row r="1795" spans="1:26" ht="18" customHeight="1" x14ac:dyDescent="0.2">
      <c r="A1795" s="279">
        <f t="shared" si="2286"/>
        <v>44646</v>
      </c>
      <c r="B1795" s="279" t="s">
        <v>195</v>
      </c>
      <c r="C1795" s="48">
        <f t="shared" si="2298"/>
        <v>0</v>
      </c>
      <c r="D1795" s="84">
        <f t="shared" si="2290"/>
        <v>0</v>
      </c>
      <c r="E1795" s="45">
        <f t="shared" si="2291"/>
        <v>0</v>
      </c>
      <c r="F1795" s="45">
        <f t="shared" si="2299"/>
        <v>0</v>
      </c>
      <c r="G1795" s="79">
        <f t="shared" si="2300"/>
        <v>0</v>
      </c>
      <c r="H1795" s="199"/>
      <c r="I1795" s="199"/>
      <c r="J1795" s="200"/>
      <c r="K1795" s="201"/>
      <c r="L1795" s="276"/>
      <c r="M1795" s="276"/>
      <c r="N1795" s="153">
        <v>59737</v>
      </c>
      <c r="O1795" s="153">
        <v>25822</v>
      </c>
      <c r="P1795" s="153">
        <v>41741</v>
      </c>
      <c r="Q1795" s="153"/>
      <c r="R1795" s="153">
        <v>47296</v>
      </c>
      <c r="S1795" s="154">
        <v>5669</v>
      </c>
      <c r="T1795" s="154">
        <v>856.6</v>
      </c>
      <c r="U1795" s="154"/>
      <c r="V1795" s="153">
        <v>86420</v>
      </c>
      <c r="W1795" s="153">
        <v>41174</v>
      </c>
      <c r="X1795" s="153">
        <v>32384</v>
      </c>
      <c r="Y1795" s="153">
        <v>92778</v>
      </c>
      <c r="Z1795" s="153">
        <v>54300</v>
      </c>
    </row>
    <row r="1796" spans="1:26" ht="18" customHeight="1" x14ac:dyDescent="0.2">
      <c r="A1796" s="279">
        <f t="shared" si="2286"/>
        <v>44647</v>
      </c>
      <c r="B1796" s="278" t="s">
        <v>190</v>
      </c>
      <c r="C1796" s="48">
        <f t="shared" si="2298"/>
        <v>3284</v>
      </c>
      <c r="D1796" s="84">
        <f t="shared" si="2290"/>
        <v>5728</v>
      </c>
      <c r="E1796" s="45">
        <f t="shared" si="2291"/>
        <v>2047.9999999999973</v>
      </c>
      <c r="F1796" s="45">
        <f t="shared" si="2299"/>
        <v>303</v>
      </c>
      <c r="G1796" s="79">
        <f t="shared" si="2300"/>
        <v>11362.999999999996</v>
      </c>
      <c r="H1796" s="199"/>
      <c r="I1796" s="199"/>
      <c r="J1796" s="200"/>
      <c r="K1796" s="201"/>
      <c r="L1796" s="276"/>
      <c r="M1796" s="276"/>
      <c r="N1796" s="153">
        <v>59737</v>
      </c>
      <c r="O1796" s="153">
        <v>25822</v>
      </c>
      <c r="P1796" s="153">
        <v>41741</v>
      </c>
      <c r="Q1796" s="153"/>
      <c r="R1796" s="153">
        <v>47296</v>
      </c>
      <c r="S1796" s="154">
        <v>5669</v>
      </c>
      <c r="T1796" s="154">
        <v>856.6</v>
      </c>
      <c r="U1796" s="154"/>
      <c r="V1796" s="153">
        <v>86420</v>
      </c>
      <c r="W1796" s="153">
        <v>41174</v>
      </c>
      <c r="X1796" s="153">
        <v>32384</v>
      </c>
      <c r="Y1796" s="153">
        <v>92778</v>
      </c>
      <c r="Z1796" s="153">
        <v>54300</v>
      </c>
    </row>
    <row r="1797" spans="1:26" ht="18" customHeight="1" x14ac:dyDescent="0.2">
      <c r="A1797" s="279">
        <f t="shared" si="2286"/>
        <v>44648</v>
      </c>
      <c r="B1797" s="280" t="s">
        <v>191</v>
      </c>
      <c r="C1797" s="48">
        <f t="shared" ref="C1797" si="2301">(V1798-V1797)*1+(W1798-W1797)*32+(X1798-X1797)*12+(Y1798-Y1797)*6</f>
        <v>2134</v>
      </c>
      <c r="D1797" s="84">
        <f t="shared" si="2290"/>
        <v>2224</v>
      </c>
      <c r="E1797" s="45">
        <f t="shared" si="2291"/>
        <v>1891.9999999999891</v>
      </c>
      <c r="F1797" s="45">
        <f t="shared" ref="F1797" si="2302">(Z1798-Z1797)*1</f>
        <v>125</v>
      </c>
      <c r="G1797" s="79">
        <f t="shared" ref="G1797" si="2303">C1797+D1797+F1797+E1797</f>
        <v>6374.9999999999891</v>
      </c>
      <c r="H1797" s="199"/>
      <c r="I1797" s="199"/>
      <c r="J1797" s="200"/>
      <c r="K1797" s="201"/>
      <c r="L1797" s="276"/>
      <c r="M1797" s="276"/>
      <c r="N1797" s="235">
        <v>59997</v>
      </c>
      <c r="O1797" s="235">
        <v>25921</v>
      </c>
      <c r="P1797" s="235">
        <v>42197</v>
      </c>
      <c r="Q1797" s="235"/>
      <c r="R1797" s="235">
        <v>47296</v>
      </c>
      <c r="S1797" s="236">
        <v>5692.5</v>
      </c>
      <c r="T1797" s="236">
        <v>860.8</v>
      </c>
      <c r="U1797" s="236"/>
      <c r="V1797" s="235">
        <v>86836</v>
      </c>
      <c r="W1797" s="235">
        <v>41231</v>
      </c>
      <c r="X1797" s="235">
        <v>32471</v>
      </c>
      <c r="Y1797" s="235">
        <v>92778</v>
      </c>
      <c r="Z1797" s="235">
        <v>54603</v>
      </c>
    </row>
    <row r="1798" spans="1:26" ht="18" customHeight="1" x14ac:dyDescent="0.2">
      <c r="A1798" s="279">
        <f t="shared" si="2286"/>
        <v>44649</v>
      </c>
      <c r="B1798" s="280" t="s">
        <v>192</v>
      </c>
      <c r="C1798" s="48">
        <f t="shared" ref="C1798:C1805" si="2304">(V1799-V1798)*1+(W1799-W1798)*32+(X1799-X1798)*12+(Y1799-Y1798)*6</f>
        <v>2154</v>
      </c>
      <c r="D1798" s="84">
        <f t="shared" si="2290"/>
        <v>1992</v>
      </c>
      <c r="E1798" s="45">
        <f t="shared" si="2291"/>
        <v>1568.0000000000291</v>
      </c>
      <c r="F1798" s="45">
        <f t="shared" ref="F1798:F1805" si="2305">(Z1799-Z1798)*1</f>
        <v>107</v>
      </c>
      <c r="G1798" s="79">
        <f t="shared" ref="G1798:G1805" si="2306">C1798+D1798+F1798+E1798</f>
        <v>5821.0000000000291</v>
      </c>
      <c r="H1798" s="199"/>
      <c r="I1798" s="199"/>
      <c r="J1798" s="200"/>
      <c r="K1798" s="201"/>
      <c r="L1798" s="276"/>
      <c r="M1798" s="276"/>
      <c r="N1798" s="235">
        <v>60107</v>
      </c>
      <c r="O1798" s="235">
        <v>25959</v>
      </c>
      <c r="P1798" s="235">
        <v>42365</v>
      </c>
      <c r="Q1798" s="235"/>
      <c r="R1798" s="235">
        <v>47296</v>
      </c>
      <c r="S1798" s="236">
        <v>5713.2</v>
      </c>
      <c r="T1798" s="236">
        <v>866.7</v>
      </c>
      <c r="U1798" s="236"/>
      <c r="V1798" s="235">
        <v>87018</v>
      </c>
      <c r="W1798" s="235">
        <v>41262</v>
      </c>
      <c r="X1798" s="235">
        <v>32551</v>
      </c>
      <c r="Y1798" s="235">
        <v>92778</v>
      </c>
      <c r="Z1798" s="235">
        <v>54728</v>
      </c>
    </row>
    <row r="1799" spans="1:26" ht="18" customHeight="1" x14ac:dyDescent="0.2">
      <c r="A1799" s="279">
        <f t="shared" si="2286"/>
        <v>44650</v>
      </c>
      <c r="B1799" s="280" t="s">
        <v>193</v>
      </c>
      <c r="C1799" s="48">
        <f t="shared" si="2304"/>
        <v>2295</v>
      </c>
      <c r="D1799" s="84">
        <f t="shared" si="2290"/>
        <v>2072</v>
      </c>
      <c r="E1799" s="45">
        <f t="shared" si="2291"/>
        <v>1527.9999999999836</v>
      </c>
      <c r="F1799" s="45">
        <f t="shared" si="2305"/>
        <v>75</v>
      </c>
      <c r="G1799" s="79">
        <f t="shared" si="2306"/>
        <v>5969.9999999999836</v>
      </c>
      <c r="H1799" s="199"/>
      <c r="I1799" s="199"/>
      <c r="J1799" s="200"/>
      <c r="K1799" s="201"/>
      <c r="L1799" s="276"/>
      <c r="M1799" s="276"/>
      <c r="N1799" s="235">
        <v>60197</v>
      </c>
      <c r="O1799" s="235">
        <v>25997</v>
      </c>
      <c r="P1799" s="235">
        <v>42524</v>
      </c>
      <c r="Q1799" s="235"/>
      <c r="R1799" s="235">
        <v>47296</v>
      </c>
      <c r="S1799" s="236">
        <v>5731.8</v>
      </c>
      <c r="T1799" s="236">
        <v>868.7</v>
      </c>
      <c r="U1799" s="236"/>
      <c r="V1799" s="235">
        <v>87192</v>
      </c>
      <c r="W1799" s="235">
        <v>41295</v>
      </c>
      <c r="X1799" s="235">
        <v>32628</v>
      </c>
      <c r="Y1799" s="235">
        <v>92778</v>
      </c>
      <c r="Z1799" s="235">
        <v>54835</v>
      </c>
    </row>
    <row r="1800" spans="1:26" ht="18" customHeight="1" x14ac:dyDescent="0.2">
      <c r="A1800" s="279">
        <f t="shared" si="2286"/>
        <v>44651</v>
      </c>
      <c r="B1800" s="280" t="s">
        <v>194</v>
      </c>
      <c r="C1800" s="48">
        <f t="shared" si="2304"/>
        <v>2408</v>
      </c>
      <c r="D1800" s="84">
        <f t="shared" si="2290"/>
        <v>2016</v>
      </c>
      <c r="E1800" s="45">
        <f t="shared" si="2291"/>
        <v>1647.9999999999836</v>
      </c>
      <c r="F1800" s="45">
        <f t="shared" si="2305"/>
        <v>103</v>
      </c>
      <c r="G1800" s="79">
        <f t="shared" si="2306"/>
        <v>6174.9999999999836</v>
      </c>
      <c r="H1800" s="199"/>
      <c r="I1800" s="199"/>
      <c r="J1800" s="200"/>
      <c r="K1800" s="201"/>
      <c r="L1800" s="276"/>
      <c r="M1800" s="276"/>
      <c r="N1800" s="235">
        <v>60297</v>
      </c>
      <c r="O1800" s="235">
        <v>26034</v>
      </c>
      <c r="P1800" s="235">
        <v>42683</v>
      </c>
      <c r="Q1800" s="235"/>
      <c r="R1800" s="235">
        <v>47296</v>
      </c>
      <c r="S1800" s="236">
        <v>5750.5</v>
      </c>
      <c r="T1800" s="236">
        <v>869.5</v>
      </c>
      <c r="U1800" s="236"/>
      <c r="V1800" s="235">
        <v>87379</v>
      </c>
      <c r="W1800" s="235">
        <v>41332</v>
      </c>
      <c r="X1800" s="235">
        <v>32705</v>
      </c>
      <c r="Y1800" s="235">
        <v>92778</v>
      </c>
      <c r="Z1800" s="235">
        <v>54910</v>
      </c>
    </row>
    <row r="1801" spans="1:26" ht="18" customHeight="1" x14ac:dyDescent="0.2">
      <c r="A1801" s="279">
        <f t="shared" si="2286"/>
        <v>44652</v>
      </c>
      <c r="B1801" s="278" t="s">
        <v>189</v>
      </c>
      <c r="C1801" s="48">
        <f t="shared" si="2304"/>
        <v>0</v>
      </c>
      <c r="D1801" s="84">
        <f t="shared" si="2290"/>
        <v>0</v>
      </c>
      <c r="E1801" s="45">
        <f t="shared" si="2291"/>
        <v>0</v>
      </c>
      <c r="F1801" s="45">
        <f t="shared" si="2305"/>
        <v>0</v>
      </c>
      <c r="G1801" s="79">
        <f t="shared" si="2306"/>
        <v>0</v>
      </c>
      <c r="H1801" s="199"/>
      <c r="I1801" s="199"/>
      <c r="J1801" s="200"/>
      <c r="K1801" s="201"/>
      <c r="L1801" s="276"/>
      <c r="M1801" s="276"/>
      <c r="N1801" s="235">
        <v>60389</v>
      </c>
      <c r="O1801" s="235">
        <v>26069</v>
      </c>
      <c r="P1801" s="235">
        <v>42843</v>
      </c>
      <c r="Q1801" s="235"/>
      <c r="R1801" s="235">
        <v>47296</v>
      </c>
      <c r="S1801" s="236">
        <v>5770.7</v>
      </c>
      <c r="T1801" s="236">
        <v>870.3</v>
      </c>
      <c r="U1801" s="236"/>
      <c r="V1801" s="235">
        <v>87591</v>
      </c>
      <c r="W1801" s="235">
        <v>41368</v>
      </c>
      <c r="X1801" s="235">
        <v>32792</v>
      </c>
      <c r="Y1801" s="235">
        <v>92778</v>
      </c>
      <c r="Z1801" s="235">
        <v>55013</v>
      </c>
    </row>
    <row r="1802" spans="1:26" ht="18" customHeight="1" x14ac:dyDescent="0.2">
      <c r="A1802" s="279">
        <f t="shared" si="2286"/>
        <v>44653</v>
      </c>
      <c r="B1802" s="279" t="s">
        <v>195</v>
      </c>
      <c r="C1802" s="48">
        <f t="shared" si="2304"/>
        <v>0</v>
      </c>
      <c r="D1802" s="84">
        <f t="shared" si="2290"/>
        <v>0</v>
      </c>
      <c r="E1802" s="45">
        <f t="shared" si="2291"/>
        <v>0</v>
      </c>
      <c r="F1802" s="45">
        <f t="shared" si="2305"/>
        <v>0</v>
      </c>
      <c r="G1802" s="79">
        <f t="shared" si="2306"/>
        <v>0</v>
      </c>
      <c r="H1802" s="199"/>
      <c r="I1802" s="199"/>
      <c r="J1802" s="200"/>
      <c r="K1802" s="201"/>
      <c r="L1802" s="276"/>
      <c r="M1802" s="276"/>
      <c r="N1802" s="153">
        <v>60389</v>
      </c>
      <c r="O1802" s="153">
        <v>26069</v>
      </c>
      <c r="P1802" s="153">
        <v>42843</v>
      </c>
      <c r="Q1802" s="153"/>
      <c r="R1802" s="153">
        <v>47296</v>
      </c>
      <c r="S1802" s="154">
        <v>5770.7</v>
      </c>
      <c r="T1802" s="154">
        <v>870.3</v>
      </c>
      <c r="U1802" s="154"/>
      <c r="V1802" s="153">
        <v>87591</v>
      </c>
      <c r="W1802" s="153">
        <v>41368</v>
      </c>
      <c r="X1802" s="153">
        <v>32792</v>
      </c>
      <c r="Y1802" s="153">
        <v>92778</v>
      </c>
      <c r="Z1802" s="153">
        <v>55013</v>
      </c>
    </row>
    <row r="1803" spans="1:26" ht="18" customHeight="1" x14ac:dyDescent="0.2">
      <c r="A1803" s="279">
        <f t="shared" si="2286"/>
        <v>44654</v>
      </c>
      <c r="B1803" s="278" t="s">
        <v>190</v>
      </c>
      <c r="C1803" s="48">
        <f t="shared" si="2304"/>
        <v>0</v>
      </c>
      <c r="D1803" s="84">
        <f t="shared" si="2290"/>
        <v>0</v>
      </c>
      <c r="E1803" s="45">
        <f t="shared" si="2291"/>
        <v>0</v>
      </c>
      <c r="F1803" s="45">
        <f t="shared" si="2305"/>
        <v>0</v>
      </c>
      <c r="G1803" s="79">
        <f t="shared" si="2306"/>
        <v>0</v>
      </c>
      <c r="H1803" s="199"/>
      <c r="I1803" s="199"/>
      <c r="J1803" s="200"/>
      <c r="K1803" s="201"/>
      <c r="L1803" s="276"/>
      <c r="M1803" s="276"/>
      <c r="N1803" s="153">
        <v>60389</v>
      </c>
      <c r="O1803" s="153">
        <v>26069</v>
      </c>
      <c r="P1803" s="153">
        <v>42843</v>
      </c>
      <c r="Q1803" s="153"/>
      <c r="R1803" s="153">
        <v>47296</v>
      </c>
      <c r="S1803" s="154">
        <v>5770.7</v>
      </c>
      <c r="T1803" s="154">
        <v>870.3</v>
      </c>
      <c r="U1803" s="154"/>
      <c r="V1803" s="153">
        <v>87591</v>
      </c>
      <c r="W1803" s="153">
        <v>41368</v>
      </c>
      <c r="X1803" s="153">
        <v>32792</v>
      </c>
      <c r="Y1803" s="153">
        <v>92778</v>
      </c>
      <c r="Z1803" s="153">
        <v>55013</v>
      </c>
    </row>
    <row r="1804" spans="1:26" ht="18" customHeight="1" x14ac:dyDescent="0.2">
      <c r="A1804" s="279">
        <f t="shared" si="2286"/>
        <v>44655</v>
      </c>
      <c r="B1804" s="280" t="s">
        <v>191</v>
      </c>
      <c r="C1804" s="48">
        <f t="shared" si="2304"/>
        <v>0</v>
      </c>
      <c r="D1804" s="84">
        <f t="shared" si="2290"/>
        <v>0</v>
      </c>
      <c r="E1804" s="45">
        <f t="shared" si="2291"/>
        <v>0</v>
      </c>
      <c r="F1804" s="45">
        <f t="shared" si="2305"/>
        <v>0</v>
      </c>
      <c r="G1804" s="79">
        <f t="shared" si="2306"/>
        <v>0</v>
      </c>
      <c r="H1804" s="199"/>
      <c r="I1804" s="199"/>
      <c r="J1804" s="200"/>
      <c r="K1804" s="201"/>
      <c r="L1804" s="276"/>
      <c r="M1804" s="276"/>
      <c r="N1804" s="153">
        <v>60389</v>
      </c>
      <c r="O1804" s="153">
        <v>26069</v>
      </c>
      <c r="P1804" s="153">
        <v>42843</v>
      </c>
      <c r="Q1804" s="153"/>
      <c r="R1804" s="153">
        <v>47296</v>
      </c>
      <c r="S1804" s="154">
        <v>5770.7</v>
      </c>
      <c r="T1804" s="154">
        <v>870.3</v>
      </c>
      <c r="U1804" s="154"/>
      <c r="V1804" s="153">
        <v>87591</v>
      </c>
      <c r="W1804" s="153">
        <v>41368</v>
      </c>
      <c r="X1804" s="153">
        <v>32792</v>
      </c>
      <c r="Y1804" s="153">
        <v>92778</v>
      </c>
      <c r="Z1804" s="153">
        <v>55013</v>
      </c>
    </row>
    <row r="1805" spans="1:26" ht="18" customHeight="1" x14ac:dyDescent="0.2">
      <c r="A1805" s="279">
        <f t="shared" si="2286"/>
        <v>44656</v>
      </c>
      <c r="B1805" s="280" t="s">
        <v>192</v>
      </c>
      <c r="C1805" s="48">
        <f t="shared" si="2304"/>
        <v>3781</v>
      </c>
      <c r="D1805" s="84">
        <f t="shared" si="2290"/>
        <v>7992</v>
      </c>
      <c r="E1805" s="45">
        <f t="shared" si="2291"/>
        <v>1936.0000000000173</v>
      </c>
      <c r="F1805" s="45">
        <f t="shared" si="2305"/>
        <v>543</v>
      </c>
      <c r="G1805" s="79">
        <f t="shared" si="2306"/>
        <v>14252.000000000018</v>
      </c>
      <c r="H1805" s="199"/>
      <c r="I1805" s="199"/>
      <c r="J1805" s="200"/>
      <c r="K1805" s="201"/>
      <c r="L1805" s="276"/>
      <c r="M1805" s="276"/>
      <c r="N1805" s="153">
        <v>60389</v>
      </c>
      <c r="O1805" s="153">
        <v>26069</v>
      </c>
      <c r="P1805" s="153">
        <v>42843</v>
      </c>
      <c r="Q1805" s="153"/>
      <c r="R1805" s="153">
        <v>47296</v>
      </c>
      <c r="S1805" s="154">
        <v>5770.7</v>
      </c>
      <c r="T1805" s="154">
        <v>870.3</v>
      </c>
      <c r="U1805" s="154"/>
      <c r="V1805" s="153">
        <v>87591</v>
      </c>
      <c r="W1805" s="153">
        <v>41368</v>
      </c>
      <c r="X1805" s="153">
        <v>32792</v>
      </c>
      <c r="Y1805" s="153">
        <v>92778</v>
      </c>
      <c r="Z1805" s="153">
        <v>55013</v>
      </c>
    </row>
    <row r="1806" spans="1:26" ht="18" customHeight="1" x14ac:dyDescent="0.2">
      <c r="A1806" s="279">
        <f t="shared" si="2286"/>
        <v>44657</v>
      </c>
      <c r="B1806" s="280" t="s">
        <v>193</v>
      </c>
      <c r="C1806" s="48">
        <f t="shared" ref="C1806:C1813" si="2307">(V1807-V1806)*1+(W1807-W1806)*32+(X1807-X1806)*12+(Y1807-Y1806)*6</f>
        <v>2401</v>
      </c>
      <c r="D1806" s="84">
        <f t="shared" si="2290"/>
        <v>984</v>
      </c>
      <c r="E1806" s="45">
        <f t="shared" si="2291"/>
        <v>1784.0000000000009</v>
      </c>
      <c r="F1806" s="45">
        <f t="shared" ref="F1806:F1813" si="2308">(Z1807-Z1806)*1</f>
        <v>60</v>
      </c>
      <c r="G1806" s="79">
        <f t="shared" ref="G1806:G1813" si="2309">C1806+D1806+F1806+E1806</f>
        <v>5229.0000000000009</v>
      </c>
      <c r="H1806" s="199"/>
      <c r="I1806" s="199"/>
      <c r="J1806" s="200"/>
      <c r="K1806" s="201"/>
      <c r="L1806" s="276"/>
      <c r="M1806" s="276"/>
      <c r="N1806" s="235">
        <v>60987</v>
      </c>
      <c r="O1806" s="235">
        <v>26260</v>
      </c>
      <c r="P1806" s="235">
        <v>43244</v>
      </c>
      <c r="Q1806" s="235"/>
      <c r="R1806" s="235">
        <v>47296</v>
      </c>
      <c r="S1806" s="236">
        <v>5794.5</v>
      </c>
      <c r="T1806" s="236">
        <v>871.1</v>
      </c>
      <c r="U1806" s="236"/>
      <c r="V1806" s="235">
        <v>88288</v>
      </c>
      <c r="W1806" s="235">
        <v>41431</v>
      </c>
      <c r="X1806" s="235">
        <v>32881</v>
      </c>
      <c r="Y1806" s="235">
        <v>92778</v>
      </c>
      <c r="Z1806" s="235">
        <v>55556</v>
      </c>
    </row>
    <row r="1807" spans="1:26" ht="18" customHeight="1" x14ac:dyDescent="0.2">
      <c r="A1807" s="279">
        <f t="shared" si="2286"/>
        <v>44658</v>
      </c>
      <c r="B1807" s="280" t="s">
        <v>194</v>
      </c>
      <c r="C1807" s="48">
        <f t="shared" si="2307"/>
        <v>2128</v>
      </c>
      <c r="D1807" s="84">
        <f t="shared" si="2290"/>
        <v>1736</v>
      </c>
      <c r="E1807" s="45">
        <f t="shared" si="2291"/>
        <v>1624.0000000000282</v>
      </c>
      <c r="F1807" s="45">
        <f t="shared" si="2308"/>
        <v>44</v>
      </c>
      <c r="G1807" s="79">
        <f t="shared" si="2309"/>
        <v>5532.0000000000282</v>
      </c>
      <c r="H1807" s="199"/>
      <c r="I1807" s="199"/>
      <c r="J1807" s="200"/>
      <c r="K1807" s="201"/>
      <c r="L1807" s="276"/>
      <c r="M1807" s="276"/>
      <c r="N1807" s="235">
        <v>61017</v>
      </c>
      <c r="O1807" s="235">
        <v>26311</v>
      </c>
      <c r="P1807" s="235">
        <v>43337</v>
      </c>
      <c r="Q1807" s="235"/>
      <c r="R1807" s="235">
        <v>47296</v>
      </c>
      <c r="S1807" s="236">
        <v>5814.5</v>
      </c>
      <c r="T1807" s="236">
        <v>875.7</v>
      </c>
      <c r="U1807" s="236"/>
      <c r="V1807" s="235">
        <v>88489</v>
      </c>
      <c r="W1807" s="235">
        <v>41469</v>
      </c>
      <c r="X1807" s="235">
        <v>32963</v>
      </c>
      <c r="Y1807" s="235">
        <v>92778</v>
      </c>
      <c r="Z1807" s="235">
        <v>55616</v>
      </c>
    </row>
    <row r="1808" spans="1:26" ht="18" customHeight="1" x14ac:dyDescent="0.2">
      <c r="A1808" s="279">
        <f t="shared" si="2286"/>
        <v>44659</v>
      </c>
      <c r="B1808" s="278" t="s">
        <v>189</v>
      </c>
      <c r="C1808" s="48">
        <f t="shared" si="2307"/>
        <v>0</v>
      </c>
      <c r="D1808" s="84">
        <f t="shared" si="2290"/>
        <v>0</v>
      </c>
      <c r="E1808" s="45">
        <f t="shared" si="2291"/>
        <v>0</v>
      </c>
      <c r="F1808" s="45">
        <f t="shared" si="2308"/>
        <v>0</v>
      </c>
      <c r="G1808" s="79">
        <f t="shared" si="2309"/>
        <v>0</v>
      </c>
      <c r="H1808" s="199"/>
      <c r="I1808" s="199"/>
      <c r="J1808" s="200"/>
      <c r="K1808" s="201"/>
      <c r="L1808" s="276"/>
      <c r="M1808" s="276"/>
      <c r="N1808" s="235">
        <v>61147</v>
      </c>
      <c r="O1808" s="235">
        <v>26363</v>
      </c>
      <c r="P1808" s="235">
        <v>43424</v>
      </c>
      <c r="Q1808" s="235"/>
      <c r="R1808" s="235">
        <v>47296</v>
      </c>
      <c r="S1808" s="236">
        <v>5834.1</v>
      </c>
      <c r="T1808" s="236">
        <v>877.1</v>
      </c>
      <c r="U1808" s="236"/>
      <c r="V1808" s="235">
        <v>88693</v>
      </c>
      <c r="W1808" s="235">
        <v>41501</v>
      </c>
      <c r="X1808" s="235">
        <v>33038</v>
      </c>
      <c r="Y1808" s="235">
        <v>92778</v>
      </c>
      <c r="Z1808" s="235">
        <v>55660</v>
      </c>
    </row>
    <row r="1809" spans="1:26" ht="18" customHeight="1" x14ac:dyDescent="0.2">
      <c r="A1809" s="279">
        <f t="shared" si="2286"/>
        <v>44660</v>
      </c>
      <c r="B1809" s="279" t="s">
        <v>195</v>
      </c>
      <c r="C1809" s="48">
        <f t="shared" si="2307"/>
        <v>0</v>
      </c>
      <c r="D1809" s="84">
        <f t="shared" si="2290"/>
        <v>0</v>
      </c>
      <c r="E1809" s="45">
        <f t="shared" si="2291"/>
        <v>0</v>
      </c>
      <c r="F1809" s="45">
        <f t="shared" si="2308"/>
        <v>0</v>
      </c>
      <c r="G1809" s="79">
        <f t="shared" si="2309"/>
        <v>0</v>
      </c>
      <c r="H1809" s="199"/>
      <c r="I1809" s="199"/>
      <c r="J1809" s="200"/>
      <c r="K1809" s="201"/>
      <c r="L1809" s="276"/>
      <c r="M1809" s="276"/>
      <c r="N1809" s="153">
        <v>61147</v>
      </c>
      <c r="O1809" s="153">
        <v>26363</v>
      </c>
      <c r="P1809" s="153">
        <v>43424</v>
      </c>
      <c r="Q1809" s="153"/>
      <c r="R1809" s="153">
        <v>47296</v>
      </c>
      <c r="S1809" s="154">
        <v>5834.1</v>
      </c>
      <c r="T1809" s="154">
        <v>877.1</v>
      </c>
      <c r="U1809" s="154"/>
      <c r="V1809" s="153">
        <v>88693</v>
      </c>
      <c r="W1809" s="153">
        <v>41501</v>
      </c>
      <c r="X1809" s="153">
        <v>33038</v>
      </c>
      <c r="Y1809" s="153">
        <v>92778</v>
      </c>
      <c r="Z1809" s="153">
        <v>55660</v>
      </c>
    </row>
    <row r="1810" spans="1:26" ht="18" customHeight="1" x14ac:dyDescent="0.2">
      <c r="A1810" s="279">
        <f t="shared" si="2286"/>
        <v>44661</v>
      </c>
      <c r="B1810" s="278" t="s">
        <v>190</v>
      </c>
      <c r="C1810" s="48">
        <f t="shared" si="2307"/>
        <v>2912</v>
      </c>
      <c r="D1810" s="84">
        <f t="shared" si="2290"/>
        <v>3592</v>
      </c>
      <c r="E1810" s="45">
        <f t="shared" si="2291"/>
        <v>1980</v>
      </c>
      <c r="F1810" s="45">
        <f t="shared" si="2308"/>
        <v>199</v>
      </c>
      <c r="G1810" s="79">
        <f t="shared" si="2309"/>
        <v>8683</v>
      </c>
      <c r="H1810" s="199"/>
      <c r="I1810" s="199"/>
      <c r="J1810" s="200"/>
      <c r="K1810" s="201"/>
      <c r="L1810" s="276"/>
      <c r="M1810" s="276"/>
      <c r="N1810" s="153">
        <v>61147</v>
      </c>
      <c r="O1810" s="153">
        <v>26363</v>
      </c>
      <c r="P1810" s="153">
        <v>43424</v>
      </c>
      <c r="Q1810" s="153"/>
      <c r="R1810" s="153">
        <v>47296</v>
      </c>
      <c r="S1810" s="154">
        <v>5834.1</v>
      </c>
      <c r="T1810" s="154">
        <v>877.1</v>
      </c>
      <c r="U1810" s="154"/>
      <c r="V1810" s="153">
        <v>88693</v>
      </c>
      <c r="W1810" s="153">
        <v>41501</v>
      </c>
      <c r="X1810" s="153">
        <v>33038</v>
      </c>
      <c r="Y1810" s="153">
        <v>92778</v>
      </c>
      <c r="Z1810" s="153">
        <v>55660</v>
      </c>
    </row>
    <row r="1811" spans="1:26" ht="18" customHeight="1" x14ac:dyDescent="0.2">
      <c r="A1811" s="279">
        <f t="shared" si="2286"/>
        <v>44662</v>
      </c>
      <c r="B1811" s="280" t="s">
        <v>191</v>
      </c>
      <c r="C1811" s="48">
        <f t="shared" si="2307"/>
        <v>2533</v>
      </c>
      <c r="D1811" s="84">
        <f t="shared" si="2290"/>
        <v>1712</v>
      </c>
      <c r="E1811" s="45">
        <f t="shared" si="2291"/>
        <v>1615.9999999999718</v>
      </c>
      <c r="F1811" s="45">
        <f t="shared" si="2308"/>
        <v>61</v>
      </c>
      <c r="G1811" s="79">
        <f t="shared" si="2309"/>
        <v>5921.9999999999718</v>
      </c>
      <c r="H1811" s="199"/>
      <c r="I1811" s="199"/>
      <c r="J1811" s="200"/>
      <c r="K1811" s="201"/>
      <c r="L1811" s="276"/>
      <c r="M1811" s="276"/>
      <c r="N1811" s="235">
        <v>61427</v>
      </c>
      <c r="O1811" s="235">
        <v>26471</v>
      </c>
      <c r="P1811" s="235">
        <v>43593</v>
      </c>
      <c r="Q1811" s="235"/>
      <c r="R1811" s="235">
        <v>47296</v>
      </c>
      <c r="S1811" s="236">
        <v>5856.6</v>
      </c>
      <c r="T1811" s="236">
        <v>881.6</v>
      </c>
      <c r="U1811" s="236"/>
      <c r="V1811" s="235">
        <v>89161</v>
      </c>
      <c r="W1811" s="235">
        <v>41550</v>
      </c>
      <c r="X1811" s="235">
        <v>33111</v>
      </c>
      <c r="Y1811" s="235">
        <v>92778</v>
      </c>
      <c r="Z1811" s="235">
        <v>55859</v>
      </c>
    </row>
    <row r="1812" spans="1:26" ht="18" customHeight="1" x14ac:dyDescent="0.2">
      <c r="A1812" s="279">
        <f t="shared" si="2286"/>
        <v>44663</v>
      </c>
      <c r="B1812" s="280" t="s">
        <v>192</v>
      </c>
      <c r="C1812" s="48">
        <f t="shared" si="2307"/>
        <v>2622</v>
      </c>
      <c r="D1812" s="84">
        <f t="shared" si="2290"/>
        <v>1752</v>
      </c>
      <c r="E1812" s="45">
        <f t="shared" si="2291"/>
        <v>1539.9999999999682</v>
      </c>
      <c r="F1812" s="45">
        <f t="shared" si="2308"/>
        <v>55</v>
      </c>
      <c r="G1812" s="79">
        <f t="shared" si="2309"/>
        <v>5968.9999999999682</v>
      </c>
      <c r="H1812" s="199"/>
      <c r="I1812" s="199"/>
      <c r="J1812" s="200"/>
      <c r="K1812" s="201"/>
      <c r="L1812" s="276"/>
      <c r="M1812" s="276"/>
      <c r="N1812" s="235">
        <v>61497</v>
      </c>
      <c r="O1812" s="235">
        <v>26500</v>
      </c>
      <c r="P1812" s="235">
        <v>43737</v>
      </c>
      <c r="Q1812" s="235"/>
      <c r="R1812" s="235">
        <v>47296</v>
      </c>
      <c r="S1812" s="236">
        <v>5876</v>
      </c>
      <c r="T1812" s="236">
        <v>883.2</v>
      </c>
      <c r="U1812" s="236"/>
      <c r="V1812" s="235">
        <v>89350</v>
      </c>
      <c r="W1812" s="235">
        <v>41594</v>
      </c>
      <c r="X1812" s="235">
        <v>33189</v>
      </c>
      <c r="Y1812" s="235">
        <v>92778</v>
      </c>
      <c r="Z1812" s="235">
        <v>55920</v>
      </c>
    </row>
    <row r="1813" spans="1:26" ht="18" customHeight="1" x14ac:dyDescent="0.2">
      <c r="A1813" s="279">
        <f t="shared" si="2286"/>
        <v>44664</v>
      </c>
      <c r="B1813" s="280" t="s">
        <v>193</v>
      </c>
      <c r="C1813" s="48">
        <f t="shared" si="2307"/>
        <v>2499</v>
      </c>
      <c r="D1813" s="84">
        <f t="shared" si="2290"/>
        <v>1824</v>
      </c>
      <c r="E1813" s="45">
        <f t="shared" si="2291"/>
        <v>1456.0000000000446</v>
      </c>
      <c r="F1813" s="45">
        <f t="shared" si="2308"/>
        <v>54</v>
      </c>
      <c r="G1813" s="79">
        <f t="shared" si="2309"/>
        <v>5833.0000000000446</v>
      </c>
      <c r="H1813" s="199"/>
      <c r="I1813" s="199"/>
      <c r="J1813" s="200"/>
      <c r="K1813" s="201"/>
      <c r="L1813" s="276"/>
      <c r="M1813" s="276"/>
      <c r="N1813" s="235">
        <v>61577</v>
      </c>
      <c r="O1813" s="235">
        <v>26528</v>
      </c>
      <c r="P1813" s="235">
        <v>43876</v>
      </c>
      <c r="Q1813" s="235"/>
      <c r="R1813" s="235">
        <v>47296</v>
      </c>
      <c r="S1813" s="236">
        <v>5894.9</v>
      </c>
      <c r="T1813" s="236">
        <v>883.9</v>
      </c>
      <c r="U1813" s="236"/>
      <c r="V1813" s="235">
        <v>89564</v>
      </c>
      <c r="W1813" s="235">
        <v>41640</v>
      </c>
      <c r="X1813" s="235">
        <v>33267</v>
      </c>
      <c r="Y1813" s="235">
        <v>92778</v>
      </c>
      <c r="Z1813" s="235">
        <v>55975</v>
      </c>
    </row>
    <row r="1814" spans="1:26" ht="18" customHeight="1" x14ac:dyDescent="0.2">
      <c r="A1814" s="279">
        <f t="shared" si="2286"/>
        <v>44665</v>
      </c>
      <c r="B1814" s="280" t="s">
        <v>194</v>
      </c>
      <c r="C1814" s="48">
        <f t="shared" ref="C1814:C1817" si="2310">(V1815-V1814)*1+(W1815-W1814)*32+(X1815-X1814)*12+(Y1815-Y1814)*6</f>
        <v>2227</v>
      </c>
      <c r="D1814" s="84">
        <f t="shared" si="2290"/>
        <v>1936</v>
      </c>
      <c r="E1814" s="45">
        <f t="shared" si="2291"/>
        <v>1432.0000000000164</v>
      </c>
      <c r="F1814" s="45">
        <f t="shared" ref="F1814:F1817" si="2311">(Z1815-Z1814)*1</f>
        <v>66</v>
      </c>
      <c r="G1814" s="79">
        <f t="shared" ref="G1814:G1817" si="2312">C1814+D1814+F1814+E1814</f>
        <v>5661.0000000000164</v>
      </c>
      <c r="H1814" s="199"/>
      <c r="I1814" s="199"/>
      <c r="J1814" s="200"/>
      <c r="K1814" s="201"/>
      <c r="L1814" s="276"/>
      <c r="M1814" s="276"/>
      <c r="N1814" s="235">
        <v>61657</v>
      </c>
      <c r="O1814" s="235">
        <v>26558</v>
      </c>
      <c r="P1814" s="235">
        <v>44024</v>
      </c>
      <c r="Q1814" s="235"/>
      <c r="R1814" s="235">
        <v>47296</v>
      </c>
      <c r="S1814" s="236">
        <v>5912.8</v>
      </c>
      <c r="T1814" s="236">
        <v>884.5</v>
      </c>
      <c r="U1814" s="236"/>
      <c r="V1814" s="235">
        <v>89811</v>
      </c>
      <c r="W1814" s="235">
        <v>41683</v>
      </c>
      <c r="X1814" s="235">
        <v>33340</v>
      </c>
      <c r="Y1814" s="235">
        <v>92778</v>
      </c>
      <c r="Z1814" s="235">
        <v>56029</v>
      </c>
    </row>
    <row r="1815" spans="1:26" ht="18" customHeight="1" x14ac:dyDescent="0.2">
      <c r="A1815" s="279">
        <f t="shared" si="2286"/>
        <v>44666</v>
      </c>
      <c r="B1815" s="278" t="s">
        <v>189</v>
      </c>
      <c r="C1815" s="48">
        <f t="shared" si="2310"/>
        <v>0</v>
      </c>
      <c r="D1815" s="84">
        <f t="shared" si="2290"/>
        <v>0</v>
      </c>
      <c r="E1815" s="45">
        <f t="shared" si="2291"/>
        <v>0</v>
      </c>
      <c r="F1815" s="45">
        <f t="shared" si="2311"/>
        <v>0</v>
      </c>
      <c r="G1815" s="79">
        <f t="shared" si="2312"/>
        <v>0</v>
      </c>
      <c r="H1815" s="199"/>
      <c r="I1815" s="199"/>
      <c r="J1815" s="200"/>
      <c r="K1815" s="201"/>
      <c r="L1815" s="276"/>
      <c r="M1815" s="276"/>
      <c r="N1815" s="235">
        <v>61737</v>
      </c>
      <c r="O1815" s="235">
        <v>26595</v>
      </c>
      <c r="P1815" s="235">
        <v>44186</v>
      </c>
      <c r="Q1815" s="235"/>
      <c r="R1815" s="235">
        <v>47296</v>
      </c>
      <c r="S1815" s="236">
        <v>5930.6</v>
      </c>
      <c r="T1815" s="236">
        <v>884.7</v>
      </c>
      <c r="U1815" s="236"/>
      <c r="V1815" s="235">
        <v>90038</v>
      </c>
      <c r="W1815" s="235">
        <v>41717</v>
      </c>
      <c r="X1815" s="235">
        <v>33416</v>
      </c>
      <c r="Y1815" s="235">
        <v>92778</v>
      </c>
      <c r="Z1815" s="235">
        <v>56095</v>
      </c>
    </row>
    <row r="1816" spans="1:26" ht="18" customHeight="1" x14ac:dyDescent="0.2">
      <c r="A1816" s="279">
        <f t="shared" si="2286"/>
        <v>44667</v>
      </c>
      <c r="B1816" s="279" t="s">
        <v>195</v>
      </c>
      <c r="C1816" s="48">
        <f t="shared" si="2310"/>
        <v>0</v>
      </c>
      <c r="D1816" s="84">
        <f t="shared" si="2290"/>
        <v>0</v>
      </c>
      <c r="E1816" s="45">
        <f t="shared" si="2291"/>
        <v>0</v>
      </c>
      <c r="F1816" s="45">
        <f t="shared" si="2311"/>
        <v>0</v>
      </c>
      <c r="G1816" s="79">
        <f t="shared" si="2312"/>
        <v>0</v>
      </c>
      <c r="H1816" s="199"/>
      <c r="I1816" s="199"/>
      <c r="J1816" s="200"/>
      <c r="K1816" s="201"/>
      <c r="L1816" s="276"/>
      <c r="M1816" s="276"/>
      <c r="N1816" s="153">
        <v>61737</v>
      </c>
      <c r="O1816" s="153">
        <v>26595</v>
      </c>
      <c r="P1816" s="153">
        <v>44186</v>
      </c>
      <c r="Q1816" s="153"/>
      <c r="R1816" s="153">
        <v>47296</v>
      </c>
      <c r="S1816" s="154">
        <v>5930.6</v>
      </c>
      <c r="T1816" s="154">
        <v>884.7</v>
      </c>
      <c r="U1816" s="154"/>
      <c r="V1816" s="153">
        <v>90038</v>
      </c>
      <c r="W1816" s="153">
        <v>41717</v>
      </c>
      <c r="X1816" s="153">
        <v>33416</v>
      </c>
      <c r="Y1816" s="153">
        <v>92778</v>
      </c>
      <c r="Z1816" s="153">
        <v>56095</v>
      </c>
    </row>
    <row r="1817" spans="1:26" ht="18" customHeight="1" x14ac:dyDescent="0.2">
      <c r="A1817" s="279">
        <f t="shared" si="2286"/>
        <v>44668</v>
      </c>
      <c r="B1817" s="278" t="s">
        <v>190</v>
      </c>
      <c r="C1817" s="48">
        <f t="shared" si="2310"/>
        <v>2890</v>
      </c>
      <c r="D1817" s="84">
        <f t="shared" si="2290"/>
        <v>3984</v>
      </c>
      <c r="E1817" s="45">
        <f t="shared" si="2291"/>
        <v>2175.9999999999536</v>
      </c>
      <c r="F1817" s="45">
        <f t="shared" si="2311"/>
        <v>207</v>
      </c>
      <c r="G1817" s="79">
        <f t="shared" si="2312"/>
        <v>9256.9999999999527</v>
      </c>
      <c r="H1817" s="199"/>
      <c r="I1817" s="199"/>
      <c r="J1817" s="200"/>
      <c r="K1817" s="201"/>
      <c r="L1817" s="276"/>
      <c r="M1817" s="276"/>
      <c r="N1817" s="153">
        <v>61737</v>
      </c>
      <c r="O1817" s="153">
        <v>26595</v>
      </c>
      <c r="P1817" s="153">
        <v>44186</v>
      </c>
      <c r="Q1817" s="153"/>
      <c r="R1817" s="153">
        <v>47296</v>
      </c>
      <c r="S1817" s="154">
        <v>5930.6</v>
      </c>
      <c r="T1817" s="154">
        <v>884.7</v>
      </c>
      <c r="U1817" s="154"/>
      <c r="V1817" s="153">
        <v>90038</v>
      </c>
      <c r="W1817" s="153">
        <v>41717</v>
      </c>
      <c r="X1817" s="153">
        <v>33416</v>
      </c>
      <c r="Y1817" s="153">
        <v>92778</v>
      </c>
      <c r="Z1817" s="153">
        <v>56095</v>
      </c>
    </row>
    <row r="1818" spans="1:26" ht="18" customHeight="1" x14ac:dyDescent="0.2">
      <c r="A1818" s="279">
        <f t="shared" si="2286"/>
        <v>44669</v>
      </c>
      <c r="B1818" s="280" t="s">
        <v>191</v>
      </c>
      <c r="C1818" s="48">
        <f t="shared" ref="C1818:C1824" si="2313">(V1819-V1818)*1+(W1819-W1818)*32+(X1819-X1818)*12+(Y1819-Y1818)*6</f>
        <v>2203</v>
      </c>
      <c r="D1818" s="84">
        <f t="shared" si="2290"/>
        <v>2176</v>
      </c>
      <c r="E1818" s="45">
        <f t="shared" si="2291"/>
        <v>1427.9999999999882</v>
      </c>
      <c r="F1818" s="45">
        <f t="shared" ref="F1818:F1824" si="2314">(Z1819-Z1818)*1</f>
        <v>93</v>
      </c>
      <c r="G1818" s="79">
        <f t="shared" ref="G1818:G1824" si="2315">C1818+D1818+F1818+E1818</f>
        <v>5899.9999999999882</v>
      </c>
      <c r="H1818" s="199"/>
      <c r="I1818" s="199"/>
      <c r="J1818" s="200"/>
      <c r="K1818" s="201"/>
      <c r="L1818" s="276"/>
      <c r="M1818" s="276"/>
      <c r="N1818" s="235">
        <v>62003</v>
      </c>
      <c r="O1818" s="235">
        <v>26698</v>
      </c>
      <c r="P1818" s="235">
        <v>44418</v>
      </c>
      <c r="Q1818" s="235"/>
      <c r="R1818" s="235">
        <v>47296</v>
      </c>
      <c r="S1818" s="236">
        <v>5953.7</v>
      </c>
      <c r="T1818" s="236">
        <v>892.9</v>
      </c>
      <c r="U1818" s="236"/>
      <c r="V1818" s="235">
        <v>90496</v>
      </c>
      <c r="W1818" s="235">
        <v>41763</v>
      </c>
      <c r="X1818" s="235">
        <v>33496</v>
      </c>
      <c r="Y1818" s="235">
        <v>92778</v>
      </c>
      <c r="Z1818" s="235">
        <v>56302</v>
      </c>
    </row>
    <row r="1819" spans="1:26" ht="18" customHeight="1" x14ac:dyDescent="0.2">
      <c r="A1819" s="279">
        <f t="shared" si="2286"/>
        <v>44670</v>
      </c>
      <c r="B1819" s="280" t="s">
        <v>192</v>
      </c>
      <c r="C1819" s="48">
        <f t="shared" si="2313"/>
        <v>2225</v>
      </c>
      <c r="D1819" s="84">
        <f t="shared" si="2290"/>
        <v>2144</v>
      </c>
      <c r="E1819" s="45">
        <f t="shared" si="2291"/>
        <v>1484.0000000000146</v>
      </c>
      <c r="F1819" s="45">
        <f t="shared" si="2314"/>
        <v>115</v>
      </c>
      <c r="G1819" s="79">
        <f t="shared" si="2315"/>
        <v>5968.0000000000146</v>
      </c>
      <c r="H1819" s="199"/>
      <c r="I1819" s="199"/>
      <c r="J1819" s="200"/>
      <c r="K1819" s="201"/>
      <c r="L1819" s="276"/>
      <c r="M1819" s="276"/>
      <c r="N1819" s="235">
        <v>62110</v>
      </c>
      <c r="O1819" s="235">
        <v>26740</v>
      </c>
      <c r="P1819" s="235">
        <v>44583</v>
      </c>
      <c r="Q1819" s="235"/>
      <c r="R1819" s="235">
        <v>47296</v>
      </c>
      <c r="S1819" s="236">
        <v>5970.9</v>
      </c>
      <c r="T1819" s="236">
        <v>894.2</v>
      </c>
      <c r="U1819" s="236"/>
      <c r="V1819" s="235">
        <v>90687</v>
      </c>
      <c r="W1819" s="235">
        <v>41794</v>
      </c>
      <c r="X1819" s="235">
        <v>33581</v>
      </c>
      <c r="Y1819" s="235">
        <v>92778</v>
      </c>
      <c r="Z1819" s="235">
        <v>56395</v>
      </c>
    </row>
    <row r="1820" spans="1:26" ht="18" customHeight="1" x14ac:dyDescent="0.2">
      <c r="A1820" s="279">
        <f t="shared" si="2286"/>
        <v>44671</v>
      </c>
      <c r="B1820" s="280" t="s">
        <v>193</v>
      </c>
      <c r="C1820" s="48">
        <f t="shared" si="2313"/>
        <v>2207</v>
      </c>
      <c r="D1820" s="84">
        <f t="shared" si="2290"/>
        <v>2104</v>
      </c>
      <c r="E1820" s="45">
        <f t="shared" si="2291"/>
        <v>1436.0000000000264</v>
      </c>
      <c r="F1820" s="45">
        <f t="shared" si="2314"/>
        <v>88</v>
      </c>
      <c r="G1820" s="79">
        <f t="shared" si="2315"/>
        <v>5835.0000000000264</v>
      </c>
      <c r="H1820" s="199"/>
      <c r="I1820" s="199"/>
      <c r="J1820" s="200"/>
      <c r="K1820" s="201"/>
      <c r="L1820" s="276"/>
      <c r="M1820" s="276"/>
      <c r="N1820" s="235">
        <v>62217</v>
      </c>
      <c r="O1820" s="235">
        <v>26780</v>
      </c>
      <c r="P1820" s="235">
        <v>44744</v>
      </c>
      <c r="Q1820" s="235"/>
      <c r="R1820" s="235">
        <v>47296</v>
      </c>
      <c r="S1820" s="236">
        <v>5989.2</v>
      </c>
      <c r="T1820" s="236">
        <v>894.7</v>
      </c>
      <c r="U1820" s="236"/>
      <c r="V1820" s="235">
        <v>90880</v>
      </c>
      <c r="W1820" s="235">
        <v>41826</v>
      </c>
      <c r="X1820" s="235">
        <v>33665</v>
      </c>
      <c r="Y1820" s="235">
        <v>92778</v>
      </c>
      <c r="Z1820" s="235">
        <v>56510</v>
      </c>
    </row>
    <row r="1821" spans="1:26" ht="18" customHeight="1" x14ac:dyDescent="0.2">
      <c r="A1821" s="279">
        <f t="shared" si="2286"/>
        <v>44672</v>
      </c>
      <c r="B1821" s="280" t="s">
        <v>194</v>
      </c>
      <c r="C1821" s="48">
        <f t="shared" si="2313"/>
        <v>2305</v>
      </c>
      <c r="D1821" s="84">
        <f t="shared" si="2290"/>
        <v>2120</v>
      </c>
      <c r="E1821" s="45">
        <f t="shared" si="2291"/>
        <v>1387.9999999999882</v>
      </c>
      <c r="F1821" s="45">
        <f t="shared" si="2314"/>
        <v>91</v>
      </c>
      <c r="G1821" s="79">
        <f t="shared" si="2315"/>
        <v>5903.9999999999882</v>
      </c>
      <c r="H1821" s="199"/>
      <c r="I1821" s="199"/>
      <c r="J1821" s="200"/>
      <c r="K1821" s="201"/>
      <c r="L1821" s="276"/>
      <c r="M1821" s="276"/>
      <c r="N1821" s="235">
        <v>62320</v>
      </c>
      <c r="O1821" s="235">
        <v>26820</v>
      </c>
      <c r="P1821" s="235">
        <v>44904</v>
      </c>
      <c r="Q1821" s="235"/>
      <c r="R1821" s="235">
        <v>47296</v>
      </c>
      <c r="S1821" s="236">
        <v>6006.8</v>
      </c>
      <c r="T1821" s="236">
        <v>895.4</v>
      </c>
      <c r="U1821" s="236"/>
      <c r="V1821" s="235">
        <v>91067</v>
      </c>
      <c r="W1821" s="235">
        <v>41858</v>
      </c>
      <c r="X1821" s="235">
        <v>33748</v>
      </c>
      <c r="Y1821" s="235">
        <v>92778</v>
      </c>
      <c r="Z1821" s="235">
        <v>56598</v>
      </c>
    </row>
    <row r="1822" spans="1:26" ht="18" customHeight="1" x14ac:dyDescent="0.2">
      <c r="A1822" s="279">
        <f t="shared" si="2286"/>
        <v>44673</v>
      </c>
      <c r="B1822" s="278" t="s">
        <v>189</v>
      </c>
      <c r="C1822" s="48">
        <f t="shared" si="2313"/>
        <v>0</v>
      </c>
      <c r="D1822" s="84">
        <f t="shared" si="2290"/>
        <v>0</v>
      </c>
      <c r="E1822" s="45">
        <f t="shared" si="2291"/>
        <v>0</v>
      </c>
      <c r="F1822" s="45">
        <f t="shared" si="2314"/>
        <v>0</v>
      </c>
      <c r="G1822" s="79">
        <f t="shared" si="2315"/>
        <v>0</v>
      </c>
      <c r="H1822" s="199"/>
      <c r="I1822" s="199"/>
      <c r="J1822" s="200"/>
      <c r="K1822" s="201"/>
      <c r="L1822" s="276"/>
      <c r="M1822" s="276"/>
      <c r="N1822" s="235">
        <v>62427</v>
      </c>
      <c r="O1822" s="235">
        <v>26861</v>
      </c>
      <c r="P1822" s="235">
        <v>45062</v>
      </c>
      <c r="Q1822" s="235"/>
      <c r="R1822" s="235">
        <v>47296</v>
      </c>
      <c r="S1822" s="236">
        <v>6024</v>
      </c>
      <c r="T1822" s="236">
        <v>895.7</v>
      </c>
      <c r="U1822" s="236"/>
      <c r="V1822" s="235">
        <v>91272</v>
      </c>
      <c r="W1822" s="235">
        <v>41894</v>
      </c>
      <c r="X1822" s="235">
        <v>33827</v>
      </c>
      <c r="Y1822" s="235">
        <v>92778</v>
      </c>
      <c r="Z1822" s="235">
        <v>56689</v>
      </c>
    </row>
    <row r="1823" spans="1:26" ht="18" customHeight="1" x14ac:dyDescent="0.2">
      <c r="A1823" s="279">
        <f t="shared" si="2286"/>
        <v>44674</v>
      </c>
      <c r="B1823" s="279" t="s">
        <v>195</v>
      </c>
      <c r="C1823" s="48">
        <f t="shared" si="2313"/>
        <v>0</v>
      </c>
      <c r="D1823" s="84">
        <f t="shared" si="2290"/>
        <v>0</v>
      </c>
      <c r="E1823" s="45">
        <f t="shared" si="2291"/>
        <v>0</v>
      </c>
      <c r="F1823" s="45">
        <f t="shared" si="2314"/>
        <v>0</v>
      </c>
      <c r="G1823" s="79">
        <f t="shared" si="2315"/>
        <v>0</v>
      </c>
      <c r="H1823" s="199"/>
      <c r="I1823" s="199"/>
      <c r="J1823" s="200"/>
      <c r="K1823" s="201"/>
      <c r="L1823" s="276"/>
      <c r="M1823" s="276"/>
      <c r="N1823" s="153">
        <v>62427</v>
      </c>
      <c r="O1823" s="153">
        <v>26861</v>
      </c>
      <c r="P1823" s="153">
        <v>45062</v>
      </c>
      <c r="Q1823" s="153"/>
      <c r="R1823" s="153">
        <v>47296</v>
      </c>
      <c r="S1823" s="154">
        <v>6024</v>
      </c>
      <c r="T1823" s="154">
        <v>895.7</v>
      </c>
      <c r="U1823" s="154"/>
      <c r="V1823" s="153">
        <v>91272</v>
      </c>
      <c r="W1823" s="153">
        <v>41894</v>
      </c>
      <c r="X1823" s="153">
        <v>33827</v>
      </c>
      <c r="Y1823" s="153">
        <v>92778</v>
      </c>
      <c r="Z1823" s="153">
        <v>56689</v>
      </c>
    </row>
    <row r="1824" spans="1:26" ht="18" customHeight="1" x14ac:dyDescent="0.2">
      <c r="A1824" s="279">
        <f t="shared" si="2286"/>
        <v>44675</v>
      </c>
      <c r="B1824" s="278" t="s">
        <v>190</v>
      </c>
      <c r="C1824" s="48">
        <f t="shared" si="2313"/>
        <v>3302</v>
      </c>
      <c r="D1824" s="84">
        <f t="shared" si="2290"/>
        <v>3968</v>
      </c>
      <c r="E1824" s="45">
        <f t="shared" si="2291"/>
        <v>1840.0000000000273</v>
      </c>
      <c r="F1824" s="45">
        <f t="shared" si="2314"/>
        <v>169</v>
      </c>
      <c r="G1824" s="79">
        <f t="shared" si="2315"/>
        <v>9279.0000000000273</v>
      </c>
      <c r="H1824" s="199"/>
      <c r="I1824" s="199"/>
      <c r="J1824" s="200"/>
      <c r="K1824" s="201"/>
      <c r="L1824" s="276"/>
      <c r="M1824" s="276"/>
      <c r="N1824" s="153">
        <v>62427</v>
      </c>
      <c r="O1824" s="153">
        <v>26861</v>
      </c>
      <c r="P1824" s="153">
        <v>45062</v>
      </c>
      <c r="Q1824" s="153"/>
      <c r="R1824" s="153">
        <v>47296</v>
      </c>
      <c r="S1824" s="154">
        <v>6024</v>
      </c>
      <c r="T1824" s="154">
        <v>895.7</v>
      </c>
      <c r="U1824" s="154"/>
      <c r="V1824" s="153">
        <v>91272</v>
      </c>
      <c r="W1824" s="153">
        <v>41894</v>
      </c>
      <c r="X1824" s="153">
        <v>33827</v>
      </c>
      <c r="Y1824" s="153">
        <v>92778</v>
      </c>
      <c r="Z1824" s="153">
        <v>56689</v>
      </c>
    </row>
    <row r="1825" spans="1:26" ht="18" customHeight="1" x14ac:dyDescent="0.2">
      <c r="A1825" s="279">
        <f t="shared" si="2286"/>
        <v>44676</v>
      </c>
      <c r="B1825" s="280" t="s">
        <v>191</v>
      </c>
      <c r="C1825" s="48">
        <f t="shared" ref="C1825:C1830" si="2316">(V1826-V1825)*1+(W1826-W1825)*32+(X1826-X1825)*12+(Y1826-Y1825)*6</f>
        <v>2559</v>
      </c>
      <c r="D1825" s="84">
        <f t="shared" si="2290"/>
        <v>2152</v>
      </c>
      <c r="E1825" s="45">
        <f t="shared" si="2291"/>
        <v>1299.9999999999409</v>
      </c>
      <c r="F1825" s="45">
        <f t="shared" ref="F1825:F1830" si="2317">(Z1826-Z1825)*1</f>
        <v>59</v>
      </c>
      <c r="G1825" s="79">
        <f t="shared" ref="G1825:G1830" si="2318">C1825+D1825+F1825+E1825</f>
        <v>6069.9999999999409</v>
      </c>
      <c r="H1825" s="199"/>
      <c r="I1825" s="199"/>
      <c r="J1825" s="200"/>
      <c r="K1825" s="201"/>
      <c r="L1825" s="276"/>
      <c r="M1825" s="276"/>
      <c r="N1825" s="235">
        <v>62683</v>
      </c>
      <c r="O1825" s="235">
        <v>26962</v>
      </c>
      <c r="P1825" s="235">
        <v>45302</v>
      </c>
      <c r="Q1825" s="235"/>
      <c r="R1825" s="235">
        <v>47296</v>
      </c>
      <c r="S1825" s="236">
        <v>6045.6</v>
      </c>
      <c r="T1825" s="236">
        <v>898.5</v>
      </c>
      <c r="U1825" s="236"/>
      <c r="V1825" s="235">
        <v>91758</v>
      </c>
      <c r="W1825" s="235">
        <v>41955</v>
      </c>
      <c r="X1825" s="235">
        <v>33899</v>
      </c>
      <c r="Y1825" s="235">
        <v>92778</v>
      </c>
      <c r="Z1825" s="235">
        <v>56858</v>
      </c>
    </row>
    <row r="1826" spans="1:26" ht="18" customHeight="1" x14ac:dyDescent="0.2">
      <c r="A1826" s="279">
        <f t="shared" si="2286"/>
        <v>44677</v>
      </c>
      <c r="B1826" s="280" t="s">
        <v>192</v>
      </c>
      <c r="C1826" s="48">
        <f t="shared" si="2316"/>
        <v>2422</v>
      </c>
      <c r="D1826" s="84">
        <f t="shared" si="2290"/>
        <v>2200</v>
      </c>
      <c r="E1826" s="45">
        <f t="shared" si="2291"/>
        <v>932.00000000003001</v>
      </c>
      <c r="F1826" s="45">
        <f t="shared" si="2317"/>
        <v>77</v>
      </c>
      <c r="G1826" s="79">
        <f t="shared" si="2318"/>
        <v>5631.00000000003</v>
      </c>
      <c r="H1826" s="199"/>
      <c r="I1826" s="199"/>
      <c r="J1826" s="200"/>
      <c r="K1826" s="201"/>
      <c r="L1826" s="276"/>
      <c r="M1826" s="276"/>
      <c r="N1826" s="235">
        <v>62792</v>
      </c>
      <c r="O1826" s="235">
        <v>27004</v>
      </c>
      <c r="P1826" s="235">
        <v>45462</v>
      </c>
      <c r="Q1826" s="235"/>
      <c r="R1826" s="235">
        <v>47296</v>
      </c>
      <c r="S1826" s="236">
        <v>6061.4</v>
      </c>
      <c r="T1826" s="236">
        <v>899.4</v>
      </c>
      <c r="U1826" s="236"/>
      <c r="V1826" s="235">
        <v>91993</v>
      </c>
      <c r="W1826" s="235">
        <v>42001</v>
      </c>
      <c r="X1826" s="235">
        <v>33970</v>
      </c>
      <c r="Y1826" s="235">
        <v>92778</v>
      </c>
      <c r="Z1826" s="235">
        <v>56917</v>
      </c>
    </row>
    <row r="1827" spans="1:26" ht="18" customHeight="1" x14ac:dyDescent="0.2">
      <c r="A1827" s="279">
        <f t="shared" si="2286"/>
        <v>44678</v>
      </c>
      <c r="B1827" s="280" t="s">
        <v>193</v>
      </c>
      <c r="C1827" s="48">
        <f t="shared" si="2316"/>
        <v>2523</v>
      </c>
      <c r="D1827" s="84">
        <f t="shared" si="2290"/>
        <v>2192</v>
      </c>
      <c r="E1827" s="45">
        <f t="shared" si="2291"/>
        <v>696.00000000001273</v>
      </c>
      <c r="F1827" s="45">
        <f t="shared" si="2317"/>
        <v>77</v>
      </c>
      <c r="G1827" s="79">
        <f t="shared" si="2318"/>
        <v>5488.0000000000127</v>
      </c>
      <c r="H1827" s="199"/>
      <c r="I1827" s="199"/>
      <c r="J1827" s="200"/>
      <c r="K1827" s="201"/>
      <c r="L1827" s="276"/>
      <c r="M1827" s="276"/>
      <c r="N1827" s="235">
        <v>62910</v>
      </c>
      <c r="O1827" s="235">
        <v>27048</v>
      </c>
      <c r="P1827" s="235">
        <v>45619</v>
      </c>
      <c r="Q1827" s="235"/>
      <c r="R1827" s="235">
        <v>47296</v>
      </c>
      <c r="S1827" s="236">
        <v>6073</v>
      </c>
      <c r="T1827" s="236">
        <v>899.5</v>
      </c>
      <c r="U1827" s="236"/>
      <c r="V1827" s="235">
        <v>92219</v>
      </c>
      <c r="W1827" s="235">
        <v>42046</v>
      </c>
      <c r="X1827" s="235">
        <v>34033</v>
      </c>
      <c r="Y1827" s="235">
        <v>92778</v>
      </c>
      <c r="Z1827" s="235">
        <v>56994</v>
      </c>
    </row>
    <row r="1828" spans="1:26" ht="18" customHeight="1" x14ac:dyDescent="0.2">
      <c r="A1828" s="279">
        <f t="shared" si="2286"/>
        <v>44679</v>
      </c>
      <c r="B1828" s="280" t="s">
        <v>194</v>
      </c>
      <c r="C1828" s="48">
        <f t="shared" si="2316"/>
        <v>2680</v>
      </c>
      <c r="D1828" s="84">
        <f t="shared" si="2290"/>
        <v>1952</v>
      </c>
      <c r="E1828" s="45">
        <f t="shared" si="2291"/>
        <v>1436.0000000000173</v>
      </c>
      <c r="F1828" s="45">
        <f t="shared" si="2317"/>
        <v>84</v>
      </c>
      <c r="G1828" s="79">
        <f t="shared" si="2318"/>
        <v>6152.0000000000173</v>
      </c>
      <c r="H1828" s="199"/>
      <c r="I1828" s="199"/>
      <c r="J1828" s="200"/>
      <c r="K1828" s="201"/>
      <c r="L1828" s="276"/>
      <c r="M1828" s="276"/>
      <c r="N1828" s="235">
        <v>63014</v>
      </c>
      <c r="O1828" s="235">
        <v>27088</v>
      </c>
      <c r="P1828" s="235">
        <v>45789</v>
      </c>
      <c r="Q1828" s="235"/>
      <c r="R1828" s="235">
        <v>47296</v>
      </c>
      <c r="S1828" s="236">
        <v>6081.3</v>
      </c>
      <c r="T1828" s="236">
        <v>900.3</v>
      </c>
      <c r="U1828" s="236"/>
      <c r="V1828" s="235">
        <v>92454</v>
      </c>
      <c r="W1828" s="235">
        <v>42092</v>
      </c>
      <c r="X1828" s="235">
        <v>34101</v>
      </c>
      <c r="Y1828" s="235">
        <v>92778</v>
      </c>
      <c r="Z1828" s="235">
        <v>57071</v>
      </c>
    </row>
    <row r="1829" spans="1:26" ht="18" customHeight="1" x14ac:dyDescent="0.2">
      <c r="A1829" s="279">
        <f t="shared" si="2286"/>
        <v>44680</v>
      </c>
      <c r="B1829" s="278" t="s">
        <v>189</v>
      </c>
      <c r="C1829" s="48">
        <f t="shared" si="2316"/>
        <v>0</v>
      </c>
      <c r="D1829" s="84">
        <f t="shared" si="2290"/>
        <v>0</v>
      </c>
      <c r="E1829" s="45">
        <f t="shared" si="2291"/>
        <v>0</v>
      </c>
      <c r="F1829" s="45">
        <f t="shared" si="2317"/>
        <v>0</v>
      </c>
      <c r="G1829" s="79">
        <f t="shared" si="2318"/>
        <v>0</v>
      </c>
      <c r="H1829" s="199"/>
      <c r="I1829" s="199"/>
      <c r="J1829" s="200"/>
      <c r="K1829" s="201"/>
      <c r="L1829" s="276"/>
      <c r="M1829" s="276"/>
      <c r="N1829" s="235">
        <v>63121</v>
      </c>
      <c r="O1829" s="235">
        <v>27130</v>
      </c>
      <c r="P1829" s="235">
        <v>45926</v>
      </c>
      <c r="Q1829" s="235"/>
      <c r="R1829" s="235">
        <v>47296</v>
      </c>
      <c r="S1829" s="236">
        <v>6099.1</v>
      </c>
      <c r="T1829" s="236">
        <v>900.6</v>
      </c>
      <c r="U1829" s="236"/>
      <c r="V1829" s="235">
        <v>92682</v>
      </c>
      <c r="W1829" s="235">
        <v>42139</v>
      </c>
      <c r="X1829" s="235">
        <v>34180</v>
      </c>
      <c r="Y1829" s="235">
        <v>92778</v>
      </c>
      <c r="Z1829" s="235">
        <v>57155</v>
      </c>
    </row>
    <row r="1830" spans="1:26" ht="18" customHeight="1" x14ac:dyDescent="0.2">
      <c r="A1830" s="279">
        <f t="shared" si="2286"/>
        <v>44681</v>
      </c>
      <c r="B1830" s="279" t="s">
        <v>195</v>
      </c>
      <c r="C1830" s="48">
        <f t="shared" si="2316"/>
        <v>0</v>
      </c>
      <c r="D1830" s="84">
        <f t="shared" si="2290"/>
        <v>0</v>
      </c>
      <c r="E1830" s="45">
        <f t="shared" si="2291"/>
        <v>0</v>
      </c>
      <c r="F1830" s="45">
        <f t="shared" si="2317"/>
        <v>0</v>
      </c>
      <c r="G1830" s="79">
        <f t="shared" si="2318"/>
        <v>0</v>
      </c>
      <c r="H1830" s="199"/>
      <c r="I1830" s="199"/>
      <c r="J1830" s="200"/>
      <c r="K1830" s="201"/>
      <c r="L1830" s="276"/>
      <c r="M1830" s="276"/>
      <c r="N1830" s="153">
        <v>63121</v>
      </c>
      <c r="O1830" s="153">
        <v>27130</v>
      </c>
      <c r="P1830" s="153">
        <v>45926</v>
      </c>
      <c r="Q1830" s="153"/>
      <c r="R1830" s="153">
        <v>47296</v>
      </c>
      <c r="S1830" s="154">
        <v>6099.1</v>
      </c>
      <c r="T1830" s="154">
        <v>900.6</v>
      </c>
      <c r="U1830" s="154"/>
      <c r="V1830" s="153">
        <v>92682</v>
      </c>
      <c r="W1830" s="153">
        <v>42139</v>
      </c>
      <c r="X1830" s="153">
        <v>34180</v>
      </c>
      <c r="Y1830" s="153">
        <v>92778</v>
      </c>
      <c r="Z1830" s="153">
        <v>57155</v>
      </c>
    </row>
    <row r="1831" spans="1:26" ht="18" customHeight="1" x14ac:dyDescent="0.2">
      <c r="A1831" s="279">
        <f t="shared" si="2286"/>
        <v>44682</v>
      </c>
      <c r="B1831" s="278" t="s">
        <v>190</v>
      </c>
      <c r="C1831" s="48">
        <f t="shared" ref="C1831:C1832" si="2319">(V1832-V1831)*1+(W1832-W1831)*32+(X1832-X1831)*12+(Y1832-Y1831)*6</f>
        <v>0</v>
      </c>
      <c r="D1831" s="84">
        <f t="shared" si="2290"/>
        <v>0</v>
      </c>
      <c r="E1831" s="45">
        <f t="shared" si="2291"/>
        <v>0</v>
      </c>
      <c r="F1831" s="45">
        <f t="shared" ref="F1831:F1832" si="2320">(Z1832-Z1831)*1</f>
        <v>0</v>
      </c>
      <c r="G1831" s="79">
        <f t="shared" ref="G1831:G1832" si="2321">C1831+D1831+F1831+E1831</f>
        <v>0</v>
      </c>
      <c r="H1831" s="199"/>
      <c r="I1831" s="199"/>
      <c r="J1831" s="200"/>
      <c r="K1831" s="201"/>
      <c r="L1831" s="276"/>
      <c r="M1831" s="276"/>
      <c r="N1831" s="153">
        <v>63121</v>
      </c>
      <c r="O1831" s="153">
        <v>27130</v>
      </c>
      <c r="P1831" s="153">
        <v>45926</v>
      </c>
      <c r="Q1831" s="153"/>
      <c r="R1831" s="153">
        <v>47296</v>
      </c>
      <c r="S1831" s="154">
        <v>6099.1</v>
      </c>
      <c r="T1831" s="154">
        <v>900.6</v>
      </c>
      <c r="U1831" s="154"/>
      <c r="V1831" s="153">
        <v>92682</v>
      </c>
      <c r="W1831" s="153">
        <v>42139</v>
      </c>
      <c r="X1831" s="153">
        <v>34180</v>
      </c>
      <c r="Y1831" s="153">
        <v>92778</v>
      </c>
      <c r="Z1831" s="153">
        <v>57155</v>
      </c>
    </row>
    <row r="1832" spans="1:26" ht="18" customHeight="1" x14ac:dyDescent="0.2">
      <c r="A1832" s="279">
        <f t="shared" ref="A1832:A1895" si="2322">A1831+1</f>
        <v>44683</v>
      </c>
      <c r="B1832" s="280" t="s">
        <v>191</v>
      </c>
      <c r="C1832" s="48">
        <f t="shared" si="2319"/>
        <v>3629</v>
      </c>
      <c r="D1832" s="84">
        <f t="shared" si="2290"/>
        <v>3384</v>
      </c>
      <c r="E1832" s="45">
        <f t="shared" si="2291"/>
        <v>1827.9999999999427</v>
      </c>
      <c r="F1832" s="45">
        <f t="shared" si="2320"/>
        <v>371</v>
      </c>
      <c r="G1832" s="79">
        <f t="shared" si="2321"/>
        <v>9211.9999999999418</v>
      </c>
      <c r="H1832" s="199"/>
      <c r="I1832" s="199"/>
      <c r="J1832" s="200"/>
      <c r="K1832" s="201"/>
      <c r="L1832" s="276"/>
      <c r="M1832" s="276"/>
      <c r="N1832" s="153">
        <v>63121</v>
      </c>
      <c r="O1832" s="153">
        <v>27130</v>
      </c>
      <c r="P1832" s="153">
        <v>45926</v>
      </c>
      <c r="Q1832" s="153"/>
      <c r="R1832" s="153">
        <v>47296</v>
      </c>
      <c r="S1832" s="154">
        <v>6099.1</v>
      </c>
      <c r="T1832" s="154">
        <v>900.6</v>
      </c>
      <c r="U1832" s="154"/>
      <c r="V1832" s="153">
        <v>92682</v>
      </c>
      <c r="W1832" s="153">
        <v>42139</v>
      </c>
      <c r="X1832" s="153">
        <v>34180</v>
      </c>
      <c r="Y1832" s="153">
        <v>92778</v>
      </c>
      <c r="Z1832" s="153">
        <v>57155</v>
      </c>
    </row>
    <row r="1833" spans="1:26" ht="18" customHeight="1" x14ac:dyDescent="0.2">
      <c r="A1833" s="279">
        <f t="shared" si="2322"/>
        <v>44684</v>
      </c>
      <c r="B1833" s="280" t="s">
        <v>192</v>
      </c>
      <c r="C1833" s="48">
        <f t="shared" ref="C1833:C1838" si="2323">(V1834-V1833)*1+(W1834-W1833)*32+(X1834-X1833)*12+(Y1834-Y1833)*6</f>
        <v>2202</v>
      </c>
      <c r="D1833" s="84">
        <f t="shared" si="2290"/>
        <v>2112</v>
      </c>
      <c r="E1833" s="45">
        <f t="shared" si="2291"/>
        <v>1592.0000000000573</v>
      </c>
      <c r="F1833" s="45">
        <f t="shared" ref="F1833:F1838" si="2324">(Z1834-Z1833)*1</f>
        <v>98</v>
      </c>
      <c r="G1833" s="79">
        <f t="shared" ref="G1833:G1838" si="2325">C1833+D1833+F1833+E1833</f>
        <v>6004.0000000000573</v>
      </c>
      <c r="H1833" s="199"/>
      <c r="I1833" s="199"/>
      <c r="J1833" s="200"/>
      <c r="K1833" s="201"/>
      <c r="L1833" s="276"/>
      <c r="M1833" s="276"/>
      <c r="N1833" s="235">
        <v>63331</v>
      </c>
      <c r="O1833" s="235">
        <v>27212</v>
      </c>
      <c r="P1833" s="235">
        <v>46139</v>
      </c>
      <c r="Q1833" s="235"/>
      <c r="R1833" s="235">
        <v>47296</v>
      </c>
      <c r="S1833" s="236">
        <v>6121.4</v>
      </c>
      <c r="T1833" s="236">
        <v>901.7</v>
      </c>
      <c r="U1833" s="236"/>
      <c r="V1833" s="235">
        <v>93363</v>
      </c>
      <c r="W1833" s="235">
        <v>42203</v>
      </c>
      <c r="X1833" s="235">
        <v>34255</v>
      </c>
      <c r="Y1833" s="235">
        <v>92778</v>
      </c>
      <c r="Z1833" s="235">
        <v>57526</v>
      </c>
    </row>
    <row r="1834" spans="1:26" ht="18" customHeight="1" x14ac:dyDescent="0.2">
      <c r="A1834" s="279">
        <f t="shared" si="2322"/>
        <v>44685</v>
      </c>
      <c r="B1834" s="280" t="s">
        <v>193</v>
      </c>
      <c r="C1834" s="48">
        <f t="shared" si="2323"/>
        <v>2219</v>
      </c>
      <c r="D1834" s="84">
        <f t="shared" si="2290"/>
        <v>2072</v>
      </c>
      <c r="E1834" s="45">
        <f t="shared" si="2291"/>
        <v>1531.9999999999982</v>
      </c>
      <c r="F1834" s="45">
        <f t="shared" si="2324"/>
        <v>54</v>
      </c>
      <c r="G1834" s="79">
        <f t="shared" si="2325"/>
        <v>5876.9999999999982</v>
      </c>
      <c r="H1834" s="199"/>
      <c r="I1834" s="199"/>
      <c r="J1834" s="200"/>
      <c r="K1834" s="201"/>
      <c r="L1834" s="276"/>
      <c r="M1834" s="276"/>
      <c r="N1834" s="235">
        <v>63440</v>
      </c>
      <c r="O1834" s="235">
        <v>27254</v>
      </c>
      <c r="P1834" s="235">
        <v>46294</v>
      </c>
      <c r="Q1834" s="235"/>
      <c r="R1834" s="235">
        <v>47296</v>
      </c>
      <c r="S1834" s="236">
        <v>6141.1</v>
      </c>
      <c r="T1834" s="236">
        <v>902.1</v>
      </c>
      <c r="U1834" s="236"/>
      <c r="V1834" s="235">
        <v>93529</v>
      </c>
      <c r="W1834" s="235">
        <v>42234</v>
      </c>
      <c r="X1834" s="235">
        <v>34342</v>
      </c>
      <c r="Y1834" s="235">
        <v>92778</v>
      </c>
      <c r="Z1834" s="235">
        <v>57624</v>
      </c>
    </row>
    <row r="1835" spans="1:26" ht="18" customHeight="1" x14ac:dyDescent="0.2">
      <c r="A1835" s="279">
        <f t="shared" si="2322"/>
        <v>44686</v>
      </c>
      <c r="B1835" s="280" t="s">
        <v>194</v>
      </c>
      <c r="C1835" s="48">
        <f t="shared" si="2323"/>
        <v>2120</v>
      </c>
      <c r="D1835" s="84">
        <f t="shared" si="2290"/>
        <v>1856</v>
      </c>
      <c r="E1835" s="45">
        <f t="shared" si="2291"/>
        <v>1443.9999999999418</v>
      </c>
      <c r="F1835" s="45">
        <f t="shared" si="2324"/>
        <v>44</v>
      </c>
      <c r="G1835" s="79">
        <f t="shared" si="2325"/>
        <v>5463.9999999999418</v>
      </c>
      <c r="H1835" s="199"/>
      <c r="I1835" s="199"/>
      <c r="J1835" s="200"/>
      <c r="K1835" s="201"/>
      <c r="L1835" s="276"/>
      <c r="M1835" s="276"/>
      <c r="N1835" s="235">
        <v>63546</v>
      </c>
      <c r="O1835" s="235">
        <v>27295</v>
      </c>
      <c r="P1835" s="235">
        <v>46447</v>
      </c>
      <c r="Q1835" s="235"/>
      <c r="R1835" s="235">
        <v>47296</v>
      </c>
      <c r="S1835" s="236">
        <v>6160.1</v>
      </c>
      <c r="T1835" s="236">
        <v>902.4</v>
      </c>
      <c r="U1835" s="236"/>
      <c r="V1835" s="235">
        <v>93696</v>
      </c>
      <c r="W1835" s="235">
        <v>42267</v>
      </c>
      <c r="X1835" s="235">
        <v>34425</v>
      </c>
      <c r="Y1835" s="235">
        <v>92778</v>
      </c>
      <c r="Z1835" s="235">
        <v>57678</v>
      </c>
    </row>
    <row r="1836" spans="1:26" ht="18" customHeight="1" x14ac:dyDescent="0.2">
      <c r="A1836" s="279">
        <f t="shared" si="2322"/>
        <v>44687</v>
      </c>
      <c r="B1836" s="278" t="s">
        <v>189</v>
      </c>
      <c r="C1836" s="48">
        <f t="shared" si="2323"/>
        <v>0</v>
      </c>
      <c r="D1836" s="84">
        <f t="shared" si="2290"/>
        <v>0</v>
      </c>
      <c r="E1836" s="45">
        <f t="shared" si="2291"/>
        <v>0</v>
      </c>
      <c r="F1836" s="45">
        <f t="shared" si="2324"/>
        <v>0</v>
      </c>
      <c r="G1836" s="79">
        <f t="shared" si="2325"/>
        <v>0</v>
      </c>
      <c r="H1836" s="199"/>
      <c r="I1836" s="199"/>
      <c r="J1836" s="200"/>
      <c r="K1836" s="201"/>
      <c r="L1836" s="276"/>
      <c r="M1836" s="276"/>
      <c r="N1836" s="235">
        <v>63643</v>
      </c>
      <c r="O1836" s="235">
        <v>23772</v>
      </c>
      <c r="P1836" s="235">
        <v>46582</v>
      </c>
      <c r="Q1836" s="235"/>
      <c r="R1836" s="235">
        <v>47296</v>
      </c>
      <c r="S1836" s="236">
        <v>6177.9</v>
      </c>
      <c r="T1836" s="236">
        <v>902.9</v>
      </c>
      <c r="U1836" s="236"/>
      <c r="V1836" s="235">
        <v>93888</v>
      </c>
      <c r="W1836" s="235">
        <v>42301</v>
      </c>
      <c r="X1836" s="235">
        <v>34495</v>
      </c>
      <c r="Y1836" s="235">
        <v>92778</v>
      </c>
      <c r="Z1836" s="235">
        <v>57722</v>
      </c>
    </row>
    <row r="1837" spans="1:26" ht="18" customHeight="1" x14ac:dyDescent="0.2">
      <c r="A1837" s="279">
        <f t="shared" si="2322"/>
        <v>44688</v>
      </c>
      <c r="B1837" s="279" t="s">
        <v>195</v>
      </c>
      <c r="C1837" s="48">
        <f t="shared" si="2323"/>
        <v>0</v>
      </c>
      <c r="D1837" s="84">
        <f t="shared" si="2290"/>
        <v>0</v>
      </c>
      <c r="E1837" s="45">
        <f t="shared" si="2291"/>
        <v>0</v>
      </c>
      <c r="F1837" s="45">
        <f t="shared" si="2324"/>
        <v>0</v>
      </c>
      <c r="G1837" s="79">
        <f t="shared" si="2325"/>
        <v>0</v>
      </c>
      <c r="H1837" s="199"/>
      <c r="I1837" s="199"/>
      <c r="J1837" s="200"/>
      <c r="K1837" s="201"/>
      <c r="L1837" s="276"/>
      <c r="M1837" s="276"/>
      <c r="N1837" s="153">
        <v>63643</v>
      </c>
      <c r="O1837" s="153">
        <v>23772</v>
      </c>
      <c r="P1837" s="153">
        <v>46582</v>
      </c>
      <c r="Q1837" s="153"/>
      <c r="R1837" s="153">
        <v>47296</v>
      </c>
      <c r="S1837" s="154">
        <v>6177.9</v>
      </c>
      <c r="T1837" s="154">
        <v>902.9</v>
      </c>
      <c r="U1837" s="154"/>
      <c r="V1837" s="153">
        <v>93888</v>
      </c>
      <c r="W1837" s="153">
        <v>42301</v>
      </c>
      <c r="X1837" s="153">
        <v>34495</v>
      </c>
      <c r="Y1837" s="153">
        <v>92778</v>
      </c>
      <c r="Z1837" s="153">
        <v>57722</v>
      </c>
    </row>
    <row r="1838" spans="1:26" ht="18" customHeight="1" x14ac:dyDescent="0.2">
      <c r="A1838" s="279">
        <f t="shared" si="2322"/>
        <v>44689</v>
      </c>
      <c r="B1838" s="278" t="s">
        <v>190</v>
      </c>
      <c r="C1838" s="48">
        <f t="shared" si="2323"/>
        <v>3334</v>
      </c>
      <c r="D1838" s="84">
        <f t="shared" si="2290"/>
        <v>1664</v>
      </c>
      <c r="E1838" s="45">
        <f t="shared" si="2291"/>
        <v>2072.0000000000164</v>
      </c>
      <c r="F1838" s="45">
        <f t="shared" si="2324"/>
        <v>171</v>
      </c>
      <c r="G1838" s="79">
        <f t="shared" si="2325"/>
        <v>7241.0000000000164</v>
      </c>
      <c r="H1838" s="199"/>
      <c r="I1838" s="199"/>
      <c r="J1838" s="200"/>
      <c r="K1838" s="201"/>
      <c r="L1838" s="276"/>
      <c r="M1838" s="276"/>
      <c r="N1838" s="153">
        <v>63643</v>
      </c>
      <c r="O1838" s="153">
        <v>23772</v>
      </c>
      <c r="P1838" s="153">
        <v>46582</v>
      </c>
      <c r="Q1838" s="153"/>
      <c r="R1838" s="153">
        <v>47296</v>
      </c>
      <c r="S1838" s="154">
        <v>6177.9</v>
      </c>
      <c r="T1838" s="154">
        <v>902.9</v>
      </c>
      <c r="U1838" s="154"/>
      <c r="V1838" s="153">
        <v>93888</v>
      </c>
      <c r="W1838" s="153">
        <v>42301</v>
      </c>
      <c r="X1838" s="153">
        <v>34495</v>
      </c>
      <c r="Y1838" s="153">
        <v>92778</v>
      </c>
      <c r="Z1838" s="153">
        <v>57722</v>
      </c>
    </row>
    <row r="1839" spans="1:26" ht="18" customHeight="1" x14ac:dyDescent="0.2">
      <c r="A1839" s="279">
        <f t="shared" si="2322"/>
        <v>44690</v>
      </c>
      <c r="B1839" s="280" t="s">
        <v>191</v>
      </c>
      <c r="C1839" s="48">
        <f t="shared" ref="C1839:C1844" si="2326">(V1840-V1839)*1+(W1840-W1839)*32+(X1840-X1839)*12+(Y1840-Y1839)*6</f>
        <v>2122</v>
      </c>
      <c r="D1839" s="84">
        <f t="shared" ref="D1839:D1902" si="2327">(N1840-N1839)*8+(P1840-P1839)*8+(R1840-R1839)*1</f>
        <v>1576</v>
      </c>
      <c r="E1839" s="45">
        <f t="shared" ref="E1839:E1902" si="2328">(S1840-S1839)*80+(T1840-T1839)*40</f>
        <v>1367.9999999999836</v>
      </c>
      <c r="F1839" s="45">
        <f t="shared" ref="F1839:F1844" si="2329">(Z1840-Z1839)*1</f>
        <v>68</v>
      </c>
      <c r="G1839" s="79">
        <f t="shared" ref="G1839:G1844" si="2330">C1839+D1839+F1839+E1839</f>
        <v>5133.9999999999836</v>
      </c>
      <c r="H1839" s="199"/>
      <c r="I1839" s="199"/>
      <c r="J1839" s="200"/>
      <c r="K1839" s="201"/>
      <c r="L1839" s="276"/>
      <c r="M1839" s="276"/>
      <c r="N1839" s="235">
        <v>63729</v>
      </c>
      <c r="O1839" s="235">
        <v>27368</v>
      </c>
      <c r="P1839" s="235">
        <v>46704</v>
      </c>
      <c r="Q1839" s="235"/>
      <c r="R1839" s="235">
        <v>47296</v>
      </c>
      <c r="S1839" s="236">
        <v>6202.7</v>
      </c>
      <c r="T1839" s="236">
        <v>905.1</v>
      </c>
      <c r="U1839" s="236"/>
      <c r="V1839" s="235">
        <v>94318</v>
      </c>
      <c r="W1839" s="235">
        <v>42358</v>
      </c>
      <c r="X1839" s="235">
        <v>34585</v>
      </c>
      <c r="Y1839" s="235">
        <v>92778</v>
      </c>
      <c r="Z1839" s="235">
        <v>57893</v>
      </c>
    </row>
    <row r="1840" spans="1:26" ht="18" customHeight="1" x14ac:dyDescent="0.2">
      <c r="A1840" s="279">
        <f t="shared" si="2322"/>
        <v>44691</v>
      </c>
      <c r="B1840" s="280" t="s">
        <v>192</v>
      </c>
      <c r="C1840" s="48">
        <f t="shared" si="2326"/>
        <v>2180</v>
      </c>
      <c r="D1840" s="84">
        <f t="shared" si="2327"/>
        <v>1104</v>
      </c>
      <c r="E1840" s="45">
        <f t="shared" si="2328"/>
        <v>1552.0000000000027</v>
      </c>
      <c r="F1840" s="45">
        <f t="shared" si="2329"/>
        <v>64</v>
      </c>
      <c r="G1840" s="79">
        <f t="shared" si="2330"/>
        <v>4900.0000000000027</v>
      </c>
      <c r="H1840" s="199"/>
      <c r="I1840" s="199"/>
      <c r="J1840" s="200"/>
      <c r="K1840" s="201"/>
      <c r="L1840" s="276"/>
      <c r="M1840" s="276"/>
      <c r="N1840" s="235">
        <v>63846</v>
      </c>
      <c r="O1840" s="235">
        <v>27417</v>
      </c>
      <c r="P1840" s="235">
        <v>46784</v>
      </c>
      <c r="Q1840" s="235"/>
      <c r="R1840" s="235">
        <v>47296</v>
      </c>
      <c r="S1840" s="236">
        <v>6219.4</v>
      </c>
      <c r="T1840" s="236">
        <v>905.9</v>
      </c>
      <c r="U1840" s="236"/>
      <c r="V1840" s="235">
        <v>94476</v>
      </c>
      <c r="W1840" s="235">
        <v>42395</v>
      </c>
      <c r="X1840" s="235">
        <v>34650</v>
      </c>
      <c r="Y1840" s="235">
        <v>92778</v>
      </c>
      <c r="Z1840" s="235">
        <v>57961</v>
      </c>
    </row>
    <row r="1841" spans="1:26" ht="18" customHeight="1" x14ac:dyDescent="0.2">
      <c r="A1841" s="279">
        <f t="shared" si="2322"/>
        <v>44692</v>
      </c>
      <c r="B1841" s="280" t="s">
        <v>193</v>
      </c>
      <c r="C1841" s="48">
        <f t="shared" si="2326"/>
        <v>2088</v>
      </c>
      <c r="D1841" s="84">
        <f t="shared" si="2327"/>
        <v>1184</v>
      </c>
      <c r="E1841" s="45">
        <f t="shared" si="2328"/>
        <v>1404.0000000000282</v>
      </c>
      <c r="F1841" s="45">
        <f t="shared" si="2329"/>
        <v>58</v>
      </c>
      <c r="G1841" s="79">
        <f t="shared" si="2330"/>
        <v>4734.0000000000282</v>
      </c>
      <c r="H1841" s="199"/>
      <c r="I1841" s="199"/>
      <c r="J1841" s="200"/>
      <c r="K1841" s="201"/>
      <c r="L1841" s="276"/>
      <c r="M1841" s="276"/>
      <c r="N1841" s="235">
        <v>63970</v>
      </c>
      <c r="O1841" s="235">
        <v>27465</v>
      </c>
      <c r="P1841" s="235">
        <v>46798</v>
      </c>
      <c r="Q1841" s="235"/>
      <c r="R1841" s="235">
        <v>47296</v>
      </c>
      <c r="S1841" s="236">
        <v>6238.4</v>
      </c>
      <c r="T1841" s="236">
        <v>906.7</v>
      </c>
      <c r="U1841" s="236"/>
      <c r="V1841" s="235">
        <v>94660</v>
      </c>
      <c r="W1841" s="235">
        <v>42436</v>
      </c>
      <c r="X1841" s="235">
        <v>34707</v>
      </c>
      <c r="Y1841" s="235">
        <v>92778</v>
      </c>
      <c r="Z1841" s="235">
        <v>58025</v>
      </c>
    </row>
    <row r="1842" spans="1:26" ht="18" customHeight="1" x14ac:dyDescent="0.2">
      <c r="A1842" s="279">
        <f t="shared" si="2322"/>
        <v>44693</v>
      </c>
      <c r="B1842" s="280" t="s">
        <v>194</v>
      </c>
      <c r="C1842" s="48">
        <f t="shared" si="2326"/>
        <v>2181</v>
      </c>
      <c r="D1842" s="84">
        <f t="shared" si="2327"/>
        <v>1200</v>
      </c>
      <c r="E1842" s="45">
        <f t="shared" si="2328"/>
        <v>1348.0000000000155</v>
      </c>
      <c r="F1842" s="45">
        <f t="shared" si="2329"/>
        <v>50</v>
      </c>
      <c r="G1842" s="79">
        <f t="shared" si="2330"/>
        <v>4779.0000000000155</v>
      </c>
      <c r="H1842" s="199"/>
      <c r="I1842" s="199"/>
      <c r="J1842" s="200"/>
      <c r="K1842" s="201"/>
      <c r="L1842" s="276"/>
      <c r="M1842" s="276"/>
      <c r="N1842" s="235">
        <v>64091</v>
      </c>
      <c r="O1842" s="235">
        <v>27512</v>
      </c>
      <c r="P1842" s="235">
        <v>46825</v>
      </c>
      <c r="Q1842" s="235"/>
      <c r="R1842" s="235">
        <v>47296</v>
      </c>
      <c r="S1842" s="236">
        <v>6255.5</v>
      </c>
      <c r="T1842" s="236">
        <v>907.6</v>
      </c>
      <c r="U1842" s="236"/>
      <c r="V1842" s="235">
        <v>94856</v>
      </c>
      <c r="W1842" s="235">
        <v>42476</v>
      </c>
      <c r="X1842" s="235">
        <v>34758</v>
      </c>
      <c r="Y1842" s="235">
        <v>92778</v>
      </c>
      <c r="Z1842" s="235">
        <v>58083</v>
      </c>
    </row>
    <row r="1843" spans="1:26" ht="18" customHeight="1" x14ac:dyDescent="0.2">
      <c r="A1843" s="279">
        <f t="shared" si="2322"/>
        <v>44694</v>
      </c>
      <c r="B1843" s="278" t="s">
        <v>189</v>
      </c>
      <c r="C1843" s="48">
        <f t="shared" si="2326"/>
        <v>0</v>
      </c>
      <c r="D1843" s="84">
        <f t="shared" si="2327"/>
        <v>0</v>
      </c>
      <c r="E1843" s="45">
        <f t="shared" si="2328"/>
        <v>0</v>
      </c>
      <c r="F1843" s="45">
        <f t="shared" si="2329"/>
        <v>0</v>
      </c>
      <c r="G1843" s="79">
        <f t="shared" si="2330"/>
        <v>0</v>
      </c>
      <c r="H1843" s="199"/>
      <c r="I1843" s="199"/>
      <c r="J1843" s="200"/>
      <c r="K1843" s="201"/>
      <c r="L1843" s="276"/>
      <c r="M1843" s="276"/>
      <c r="N1843" s="235">
        <v>64217</v>
      </c>
      <c r="O1843" s="235">
        <v>27558</v>
      </c>
      <c r="P1843" s="235">
        <v>46849</v>
      </c>
      <c r="Q1843" s="235"/>
      <c r="R1843" s="235">
        <v>47296</v>
      </c>
      <c r="S1843" s="236">
        <v>6272.3</v>
      </c>
      <c r="T1843" s="236">
        <v>907.7</v>
      </c>
      <c r="U1843" s="236"/>
      <c r="V1843" s="235">
        <v>95033</v>
      </c>
      <c r="W1843" s="235">
        <v>42518</v>
      </c>
      <c r="X1843" s="235">
        <v>34813</v>
      </c>
      <c r="Y1843" s="235">
        <v>92778</v>
      </c>
      <c r="Z1843" s="235">
        <v>58133</v>
      </c>
    </row>
    <row r="1844" spans="1:26" ht="18" customHeight="1" x14ac:dyDescent="0.2">
      <c r="A1844" s="279">
        <f t="shared" si="2322"/>
        <v>44695</v>
      </c>
      <c r="B1844" s="279" t="s">
        <v>195</v>
      </c>
      <c r="C1844" s="48">
        <f t="shared" si="2326"/>
        <v>0</v>
      </c>
      <c r="D1844" s="84">
        <f t="shared" si="2327"/>
        <v>0</v>
      </c>
      <c r="E1844" s="45">
        <f t="shared" si="2328"/>
        <v>0</v>
      </c>
      <c r="F1844" s="45">
        <f t="shared" si="2329"/>
        <v>0</v>
      </c>
      <c r="G1844" s="79">
        <f t="shared" si="2330"/>
        <v>0</v>
      </c>
      <c r="H1844" s="199"/>
      <c r="I1844" s="199"/>
      <c r="J1844" s="200"/>
      <c r="K1844" s="201"/>
      <c r="L1844" s="276"/>
      <c r="M1844" s="276"/>
      <c r="N1844" s="153">
        <v>64217</v>
      </c>
      <c r="O1844" s="153">
        <v>27558</v>
      </c>
      <c r="P1844" s="153">
        <v>46849</v>
      </c>
      <c r="Q1844" s="153"/>
      <c r="R1844" s="153">
        <v>47296</v>
      </c>
      <c r="S1844" s="154">
        <v>6272.3</v>
      </c>
      <c r="T1844" s="154">
        <v>907.7</v>
      </c>
      <c r="U1844" s="154"/>
      <c r="V1844" s="153">
        <v>95033</v>
      </c>
      <c r="W1844" s="153">
        <v>42518</v>
      </c>
      <c r="X1844" s="153">
        <v>34813</v>
      </c>
      <c r="Y1844" s="153">
        <v>92778</v>
      </c>
      <c r="Z1844" s="153">
        <v>58133</v>
      </c>
    </row>
    <row r="1845" spans="1:26" ht="18" customHeight="1" x14ac:dyDescent="0.2">
      <c r="A1845" s="279">
        <f t="shared" si="2322"/>
        <v>44696</v>
      </c>
      <c r="B1845" s="278" t="s">
        <v>190</v>
      </c>
      <c r="C1845" s="48">
        <f>(V1846-V1845)*1+(W1846-W1845)*32+(X1846-X1845)*12+(Y1846-Y1845)*6</f>
        <v>4319</v>
      </c>
      <c r="D1845" s="84">
        <f t="shared" si="2327"/>
        <v>1152</v>
      </c>
      <c r="E1845" s="45">
        <f t="shared" si="2328"/>
        <v>1567.99999999997</v>
      </c>
      <c r="F1845" s="45">
        <f>(Z1846-Z1845)*1</f>
        <v>203</v>
      </c>
      <c r="G1845" s="79">
        <f>C1845+D1845+F1845+E1845</f>
        <v>7241.99999999997</v>
      </c>
      <c r="H1845" s="199"/>
      <c r="I1845" s="199"/>
      <c r="J1845" s="200"/>
      <c r="K1845" s="201"/>
      <c r="L1845" s="276"/>
      <c r="M1845" s="276"/>
      <c r="N1845" s="153">
        <v>64217</v>
      </c>
      <c r="O1845" s="153">
        <v>27558</v>
      </c>
      <c r="P1845" s="153">
        <v>46849</v>
      </c>
      <c r="Q1845" s="153"/>
      <c r="R1845" s="153">
        <v>47296</v>
      </c>
      <c r="S1845" s="154">
        <v>6272.3</v>
      </c>
      <c r="T1845" s="154">
        <v>907.7</v>
      </c>
      <c r="U1845" s="154"/>
      <c r="V1845" s="153">
        <v>95033</v>
      </c>
      <c r="W1845" s="153">
        <v>42518</v>
      </c>
      <c r="X1845" s="153">
        <v>34813</v>
      </c>
      <c r="Y1845" s="153">
        <v>92778</v>
      </c>
      <c r="Z1845" s="153">
        <v>58133</v>
      </c>
    </row>
    <row r="1846" spans="1:26" ht="18" customHeight="1" x14ac:dyDescent="0.2">
      <c r="A1846" s="279">
        <f t="shared" si="2322"/>
        <v>44697</v>
      </c>
      <c r="B1846" s="280" t="s">
        <v>191</v>
      </c>
      <c r="C1846" s="48">
        <f t="shared" ref="C1846:C1853" si="2331">(V1847-V1846)*1+(W1847-W1846)*32+(X1847-X1846)*12+(Y1847-Y1846)*6</f>
        <v>2098</v>
      </c>
      <c r="D1846" s="84">
        <f t="shared" si="2327"/>
        <v>1216</v>
      </c>
      <c r="E1846" s="45">
        <f t="shared" si="2328"/>
        <v>1523.9999999999827</v>
      </c>
      <c r="F1846" s="45">
        <f t="shared" ref="F1846:F1853" si="2332">(Z1847-Z1846)*1</f>
        <v>100</v>
      </c>
      <c r="G1846" s="79">
        <f t="shared" ref="G1846:G1853" si="2333">C1846+D1846+F1846+E1846</f>
        <v>4937.9999999999827</v>
      </c>
      <c r="H1846" s="199"/>
      <c r="I1846" s="199"/>
      <c r="J1846" s="200"/>
      <c r="K1846" s="201"/>
      <c r="L1846" s="276"/>
      <c r="M1846" s="276"/>
      <c r="N1846" s="235">
        <v>64336</v>
      </c>
      <c r="O1846" s="235">
        <v>27606</v>
      </c>
      <c r="P1846" s="235">
        <v>46874</v>
      </c>
      <c r="Q1846" s="235"/>
      <c r="R1846" s="235">
        <v>47296</v>
      </c>
      <c r="S1846" s="236">
        <v>6291.7</v>
      </c>
      <c r="T1846" s="236">
        <v>908.1</v>
      </c>
      <c r="U1846" s="236"/>
      <c r="V1846" s="235">
        <v>95508</v>
      </c>
      <c r="W1846" s="235">
        <v>42598</v>
      </c>
      <c r="X1846" s="235">
        <v>34920</v>
      </c>
      <c r="Y1846" s="235">
        <v>92778</v>
      </c>
      <c r="Z1846" s="235">
        <v>58336</v>
      </c>
    </row>
    <row r="1847" spans="1:26" ht="18" customHeight="1" x14ac:dyDescent="0.2">
      <c r="A1847" s="279">
        <f t="shared" si="2322"/>
        <v>44698</v>
      </c>
      <c r="B1847" s="280" t="s">
        <v>192</v>
      </c>
      <c r="C1847" s="48">
        <f t="shared" si="2331"/>
        <v>1913</v>
      </c>
      <c r="D1847" s="84">
        <f t="shared" si="2327"/>
        <v>1168</v>
      </c>
      <c r="E1847" s="45">
        <f t="shared" si="2328"/>
        <v>1540.0000000000318</v>
      </c>
      <c r="F1847" s="45">
        <f t="shared" si="2332"/>
        <v>110</v>
      </c>
      <c r="G1847" s="79">
        <f t="shared" si="2333"/>
        <v>4731.0000000000318</v>
      </c>
      <c r="H1847" s="199"/>
      <c r="I1847" s="199"/>
      <c r="J1847" s="200"/>
      <c r="K1847" s="201"/>
      <c r="L1847" s="276"/>
      <c r="M1847" s="276"/>
      <c r="N1847" s="235">
        <v>64470</v>
      </c>
      <c r="O1847" s="235">
        <v>27656</v>
      </c>
      <c r="P1847" s="235">
        <v>46892</v>
      </c>
      <c r="Q1847" s="235"/>
      <c r="R1847" s="235">
        <v>47296</v>
      </c>
      <c r="S1847" s="236">
        <v>6310.4</v>
      </c>
      <c r="T1847" s="236">
        <v>908.8</v>
      </c>
      <c r="U1847" s="236"/>
      <c r="V1847" s="235">
        <v>95678</v>
      </c>
      <c r="W1847" s="235">
        <v>42629</v>
      </c>
      <c r="X1847" s="235">
        <v>34998</v>
      </c>
      <c r="Y1847" s="235">
        <v>92778</v>
      </c>
      <c r="Z1847" s="235">
        <v>58436</v>
      </c>
    </row>
    <row r="1848" spans="1:26" ht="18" customHeight="1" x14ac:dyDescent="0.2">
      <c r="A1848" s="279">
        <f t="shared" si="2322"/>
        <v>44699</v>
      </c>
      <c r="B1848" s="280" t="s">
        <v>193</v>
      </c>
      <c r="C1848" s="48">
        <f t="shared" si="2331"/>
        <v>2316</v>
      </c>
      <c r="D1848" s="84">
        <f t="shared" si="2327"/>
        <v>1176</v>
      </c>
      <c r="E1848" s="45">
        <f t="shared" si="2328"/>
        <v>1488.0000000000291</v>
      </c>
      <c r="F1848" s="45">
        <f t="shared" si="2332"/>
        <v>93</v>
      </c>
      <c r="G1848" s="79">
        <f t="shared" si="2333"/>
        <v>5073.0000000000291</v>
      </c>
      <c r="H1848" s="199"/>
      <c r="I1848" s="199"/>
      <c r="J1848" s="200"/>
      <c r="K1848" s="201"/>
      <c r="L1848" s="276"/>
      <c r="M1848" s="276"/>
      <c r="N1848" s="235">
        <v>64600</v>
      </c>
      <c r="O1848" s="235">
        <v>27704</v>
      </c>
      <c r="P1848" s="235">
        <v>46908</v>
      </c>
      <c r="Q1848" s="235"/>
      <c r="R1848" s="235">
        <v>47296</v>
      </c>
      <c r="S1848" s="236">
        <v>6329.5</v>
      </c>
      <c r="T1848" s="236">
        <v>909.1</v>
      </c>
      <c r="U1848" s="236"/>
      <c r="V1848" s="235">
        <v>95847</v>
      </c>
      <c r="W1848" s="235">
        <v>42658</v>
      </c>
      <c r="X1848" s="235">
        <v>35066</v>
      </c>
      <c r="Y1848" s="235">
        <v>92778</v>
      </c>
      <c r="Z1848" s="235">
        <v>58546</v>
      </c>
    </row>
    <row r="1849" spans="1:26" ht="18" customHeight="1" x14ac:dyDescent="0.2">
      <c r="A1849" s="279">
        <f t="shared" si="2322"/>
        <v>44700</v>
      </c>
      <c r="B1849" s="280" t="s">
        <v>194</v>
      </c>
      <c r="C1849" s="48">
        <f t="shared" si="2331"/>
        <v>2290</v>
      </c>
      <c r="D1849" s="84">
        <f t="shared" si="2327"/>
        <v>1168</v>
      </c>
      <c r="E1849" s="45">
        <f t="shared" si="2328"/>
        <v>1335.9999999999536</v>
      </c>
      <c r="F1849" s="45">
        <f t="shared" si="2332"/>
        <v>75</v>
      </c>
      <c r="G1849" s="79">
        <f t="shared" si="2333"/>
        <v>4868.9999999999536</v>
      </c>
      <c r="H1849" s="199"/>
      <c r="I1849" s="199"/>
      <c r="J1849" s="200"/>
      <c r="K1849" s="201"/>
      <c r="L1849" s="276"/>
      <c r="M1849" s="276"/>
      <c r="N1849" s="235">
        <v>64731</v>
      </c>
      <c r="O1849" s="235">
        <v>27756</v>
      </c>
      <c r="P1849" s="235">
        <v>46924</v>
      </c>
      <c r="Q1849" s="235"/>
      <c r="R1849" s="235">
        <v>47296</v>
      </c>
      <c r="S1849" s="236">
        <v>6347.1</v>
      </c>
      <c r="T1849" s="236">
        <v>911.1</v>
      </c>
      <c r="U1849" s="236"/>
      <c r="V1849" s="235">
        <v>96019</v>
      </c>
      <c r="W1849" s="235">
        <v>42695</v>
      </c>
      <c r="X1849" s="235">
        <v>35146</v>
      </c>
      <c r="Y1849" s="235">
        <v>92778</v>
      </c>
      <c r="Z1849" s="235">
        <v>58639</v>
      </c>
    </row>
    <row r="1850" spans="1:26" ht="18" customHeight="1" x14ac:dyDescent="0.2">
      <c r="A1850" s="279">
        <f t="shared" si="2322"/>
        <v>44701</v>
      </c>
      <c r="B1850" s="278" t="s">
        <v>189</v>
      </c>
      <c r="C1850" s="48">
        <f t="shared" si="2331"/>
        <v>0</v>
      </c>
      <c r="D1850" s="84">
        <f t="shared" si="2327"/>
        <v>0</v>
      </c>
      <c r="E1850" s="45">
        <f t="shared" si="2328"/>
        <v>0</v>
      </c>
      <c r="F1850" s="45">
        <f t="shared" si="2332"/>
        <v>0</v>
      </c>
      <c r="G1850" s="79">
        <f t="shared" si="2333"/>
        <v>0</v>
      </c>
      <c r="H1850" s="199"/>
      <c r="I1850" s="199"/>
      <c r="J1850" s="200"/>
      <c r="K1850" s="201"/>
      <c r="L1850" s="276"/>
      <c r="M1850" s="276"/>
      <c r="N1850" s="235">
        <v>64860</v>
      </c>
      <c r="O1850" s="235">
        <v>27807</v>
      </c>
      <c r="P1850" s="235">
        <v>46941</v>
      </c>
      <c r="Q1850" s="235"/>
      <c r="R1850" s="235">
        <v>47296</v>
      </c>
      <c r="S1850" s="236">
        <v>6363.7</v>
      </c>
      <c r="T1850" s="236">
        <v>911.3</v>
      </c>
      <c r="U1850" s="236"/>
      <c r="V1850" s="235">
        <v>96189</v>
      </c>
      <c r="W1850" s="235">
        <v>42735</v>
      </c>
      <c r="X1850" s="235">
        <v>35216</v>
      </c>
      <c r="Y1850" s="235">
        <v>92778</v>
      </c>
      <c r="Z1850" s="235">
        <v>58714</v>
      </c>
    </row>
    <row r="1851" spans="1:26" ht="18" customHeight="1" x14ac:dyDescent="0.2">
      <c r="A1851" s="279">
        <f t="shared" si="2322"/>
        <v>44702</v>
      </c>
      <c r="B1851" s="279" t="s">
        <v>195</v>
      </c>
      <c r="C1851" s="48">
        <f t="shared" si="2331"/>
        <v>0</v>
      </c>
      <c r="D1851" s="84">
        <f t="shared" si="2327"/>
        <v>0</v>
      </c>
      <c r="E1851" s="45">
        <f t="shared" si="2328"/>
        <v>0</v>
      </c>
      <c r="F1851" s="45">
        <f t="shared" si="2332"/>
        <v>0</v>
      </c>
      <c r="G1851" s="79">
        <f t="shared" si="2333"/>
        <v>0</v>
      </c>
      <c r="H1851" s="199"/>
      <c r="I1851" s="199"/>
      <c r="J1851" s="200"/>
      <c r="K1851" s="201"/>
      <c r="L1851" s="276"/>
      <c r="M1851" s="276"/>
      <c r="N1851" s="153">
        <v>64860</v>
      </c>
      <c r="O1851" s="153">
        <v>27807</v>
      </c>
      <c r="P1851" s="153">
        <v>46941</v>
      </c>
      <c r="Q1851" s="153"/>
      <c r="R1851" s="153">
        <v>47296</v>
      </c>
      <c r="S1851" s="154">
        <v>6363.7</v>
      </c>
      <c r="T1851" s="154">
        <v>911.3</v>
      </c>
      <c r="U1851" s="154"/>
      <c r="V1851" s="153">
        <v>96189</v>
      </c>
      <c r="W1851" s="153">
        <v>42735</v>
      </c>
      <c r="X1851" s="153">
        <v>35216</v>
      </c>
      <c r="Y1851" s="153">
        <v>92778</v>
      </c>
      <c r="Z1851" s="153">
        <v>58714</v>
      </c>
    </row>
    <row r="1852" spans="1:26" ht="18" customHeight="1" x14ac:dyDescent="0.2">
      <c r="A1852" s="279">
        <f t="shared" si="2322"/>
        <v>44703</v>
      </c>
      <c r="B1852" s="278" t="s">
        <v>190</v>
      </c>
      <c r="C1852" s="48">
        <f t="shared" si="2331"/>
        <v>3197</v>
      </c>
      <c r="D1852" s="84">
        <f t="shared" si="2327"/>
        <v>1944</v>
      </c>
      <c r="E1852" s="45">
        <f t="shared" si="2328"/>
        <v>1936.0000000000036</v>
      </c>
      <c r="F1852" s="45">
        <f t="shared" si="2332"/>
        <v>239</v>
      </c>
      <c r="G1852" s="79">
        <f t="shared" si="2333"/>
        <v>7316.0000000000036</v>
      </c>
      <c r="H1852" s="199"/>
      <c r="I1852" s="199"/>
      <c r="J1852" s="200"/>
      <c r="K1852" s="201"/>
      <c r="L1852" s="276"/>
      <c r="M1852" s="276"/>
      <c r="N1852" s="153">
        <v>64860</v>
      </c>
      <c r="O1852" s="153">
        <v>27807</v>
      </c>
      <c r="P1852" s="153">
        <v>46941</v>
      </c>
      <c r="Q1852" s="153"/>
      <c r="R1852" s="153">
        <v>47296</v>
      </c>
      <c r="S1852" s="154">
        <v>6363.7</v>
      </c>
      <c r="T1852" s="154">
        <v>911.3</v>
      </c>
      <c r="U1852" s="154"/>
      <c r="V1852" s="153">
        <v>96189</v>
      </c>
      <c r="W1852" s="153">
        <v>42735</v>
      </c>
      <c r="X1852" s="153">
        <v>35216</v>
      </c>
      <c r="Y1852" s="153">
        <v>92778</v>
      </c>
      <c r="Z1852" s="153">
        <v>58714</v>
      </c>
    </row>
    <row r="1853" spans="1:26" ht="18" customHeight="1" x14ac:dyDescent="0.2">
      <c r="A1853" s="279">
        <f t="shared" si="2322"/>
        <v>44704</v>
      </c>
      <c r="B1853" s="280" t="s">
        <v>191</v>
      </c>
      <c r="C1853" s="48">
        <f t="shared" si="2331"/>
        <v>2303</v>
      </c>
      <c r="D1853" s="84">
        <f t="shared" si="2327"/>
        <v>1144</v>
      </c>
      <c r="E1853" s="45">
        <f t="shared" si="2328"/>
        <v>1284.0000000000418</v>
      </c>
      <c r="F1853" s="45">
        <f t="shared" si="2332"/>
        <v>58</v>
      </c>
      <c r="G1853" s="79">
        <f t="shared" si="2333"/>
        <v>4789.0000000000418</v>
      </c>
      <c r="H1853" s="199"/>
      <c r="I1853" s="199"/>
      <c r="J1853" s="200"/>
      <c r="K1853" s="201"/>
      <c r="L1853" s="276"/>
      <c r="M1853" s="276"/>
      <c r="N1853" s="235">
        <v>65066</v>
      </c>
      <c r="O1853" s="235">
        <v>27886</v>
      </c>
      <c r="P1853" s="235">
        <v>46978</v>
      </c>
      <c r="Q1853" s="235"/>
      <c r="R1853" s="235">
        <v>47296</v>
      </c>
      <c r="S1853" s="236">
        <v>6387.2</v>
      </c>
      <c r="T1853" s="236">
        <v>912.7</v>
      </c>
      <c r="U1853" s="236"/>
      <c r="V1853" s="235">
        <v>96598</v>
      </c>
      <c r="W1853" s="235">
        <v>42791</v>
      </c>
      <c r="X1853" s="235">
        <v>35299</v>
      </c>
      <c r="Y1853" s="235">
        <v>92778</v>
      </c>
      <c r="Z1853" s="235">
        <v>58953</v>
      </c>
    </row>
    <row r="1854" spans="1:26" ht="18" customHeight="1" x14ac:dyDescent="0.2">
      <c r="A1854" s="279">
        <f t="shared" si="2322"/>
        <v>44705</v>
      </c>
      <c r="B1854" s="280" t="s">
        <v>192</v>
      </c>
      <c r="C1854" s="48">
        <f t="shared" ref="C1854:C1859" si="2334">(V1855-V1854)*1+(W1855-W1854)*32+(X1855-X1854)*12+(Y1855-Y1854)*6</f>
        <v>1826</v>
      </c>
      <c r="D1854" s="84">
        <f t="shared" si="2327"/>
        <v>1256</v>
      </c>
      <c r="E1854" s="45">
        <f t="shared" si="2328"/>
        <v>1323.9999999999418</v>
      </c>
      <c r="F1854" s="45">
        <f t="shared" ref="F1854:F1859" si="2335">(Z1855-Z1854)*1</f>
        <v>63</v>
      </c>
      <c r="G1854" s="79">
        <f t="shared" ref="G1854:G1859" si="2336">C1854+D1854+F1854+E1854</f>
        <v>4468.9999999999418</v>
      </c>
      <c r="H1854" s="199"/>
      <c r="I1854" s="199"/>
      <c r="J1854" s="200"/>
      <c r="K1854" s="201"/>
      <c r="L1854" s="276"/>
      <c r="M1854" s="276"/>
      <c r="N1854" s="235">
        <v>65191</v>
      </c>
      <c r="O1854" s="235">
        <v>27937</v>
      </c>
      <c r="P1854" s="235">
        <v>46996</v>
      </c>
      <c r="Q1854" s="235"/>
      <c r="R1854" s="235">
        <v>47296</v>
      </c>
      <c r="S1854" s="236">
        <v>6403.1</v>
      </c>
      <c r="T1854" s="236">
        <v>913</v>
      </c>
      <c r="U1854" s="236"/>
      <c r="V1854" s="235">
        <v>96777</v>
      </c>
      <c r="W1854" s="235">
        <v>42824</v>
      </c>
      <c r="X1854" s="235">
        <v>35388</v>
      </c>
      <c r="Y1854" s="235">
        <v>92778</v>
      </c>
      <c r="Z1854" s="235">
        <v>59011</v>
      </c>
    </row>
    <row r="1855" spans="1:26" ht="18" customHeight="1" x14ac:dyDescent="0.2">
      <c r="A1855" s="279">
        <f t="shared" si="2322"/>
        <v>44706</v>
      </c>
      <c r="B1855" s="280" t="s">
        <v>193</v>
      </c>
      <c r="C1855" s="48">
        <f t="shared" si="2334"/>
        <v>2184</v>
      </c>
      <c r="D1855" s="84">
        <f t="shared" si="2327"/>
        <v>1216</v>
      </c>
      <c r="E1855" s="45">
        <f t="shared" si="2328"/>
        <v>1440.0000000000455</v>
      </c>
      <c r="F1855" s="45">
        <f t="shared" si="2335"/>
        <v>67</v>
      </c>
      <c r="G1855" s="79">
        <f t="shared" si="2336"/>
        <v>4907.0000000000455</v>
      </c>
      <c r="H1855" s="199"/>
      <c r="I1855" s="199"/>
      <c r="J1855" s="200"/>
      <c r="K1855" s="201"/>
      <c r="L1855" s="276"/>
      <c r="M1855" s="276"/>
      <c r="N1855" s="235">
        <v>65327</v>
      </c>
      <c r="O1855" s="235">
        <v>27989</v>
      </c>
      <c r="P1855" s="235">
        <v>47017</v>
      </c>
      <c r="Q1855" s="235"/>
      <c r="R1855" s="235">
        <v>47296</v>
      </c>
      <c r="S1855" s="236">
        <v>6419.4</v>
      </c>
      <c r="T1855" s="236">
        <v>913.5</v>
      </c>
      <c r="U1855" s="236"/>
      <c r="V1855" s="235">
        <v>96951</v>
      </c>
      <c r="W1855" s="235">
        <v>42858</v>
      </c>
      <c r="X1855" s="235">
        <v>35435</v>
      </c>
      <c r="Y1855" s="235">
        <v>92778</v>
      </c>
      <c r="Z1855" s="235">
        <v>59074</v>
      </c>
    </row>
    <row r="1856" spans="1:26" ht="18" customHeight="1" x14ac:dyDescent="0.2">
      <c r="A1856" s="279">
        <f t="shared" si="2322"/>
        <v>44707</v>
      </c>
      <c r="B1856" s="280" t="s">
        <v>194</v>
      </c>
      <c r="C1856" s="48">
        <f t="shared" si="2334"/>
        <v>1700</v>
      </c>
      <c r="D1856" s="84">
        <f t="shared" si="2327"/>
        <v>1408</v>
      </c>
      <c r="E1856" s="45">
        <f t="shared" si="2328"/>
        <v>1347.9999999999836</v>
      </c>
      <c r="F1856" s="45">
        <f t="shared" si="2335"/>
        <v>66</v>
      </c>
      <c r="G1856" s="79">
        <f t="shared" si="2336"/>
        <v>4521.9999999999836</v>
      </c>
      <c r="H1856" s="199"/>
      <c r="I1856" s="199"/>
      <c r="J1856" s="200"/>
      <c r="K1856" s="201"/>
      <c r="L1856" s="276"/>
      <c r="M1856" s="276"/>
      <c r="N1856" s="235">
        <v>65448</v>
      </c>
      <c r="O1856" s="235">
        <v>28039</v>
      </c>
      <c r="P1856" s="235">
        <v>47048</v>
      </c>
      <c r="Q1856" s="235"/>
      <c r="R1856" s="235">
        <v>47296</v>
      </c>
      <c r="S1856" s="236">
        <v>6437.3</v>
      </c>
      <c r="T1856" s="236">
        <v>913.7</v>
      </c>
      <c r="U1856" s="236"/>
      <c r="V1856" s="235">
        <v>97131</v>
      </c>
      <c r="W1856" s="235">
        <v>42894</v>
      </c>
      <c r="X1856" s="235">
        <v>35506</v>
      </c>
      <c r="Y1856" s="235">
        <v>92778</v>
      </c>
      <c r="Z1856" s="235">
        <v>59141</v>
      </c>
    </row>
    <row r="1857" spans="1:26" ht="18" customHeight="1" x14ac:dyDescent="0.2">
      <c r="A1857" s="279">
        <f t="shared" si="2322"/>
        <v>44708</v>
      </c>
      <c r="B1857" s="278" t="s">
        <v>189</v>
      </c>
      <c r="C1857" s="48">
        <f t="shared" si="2334"/>
        <v>0</v>
      </c>
      <c r="D1857" s="84">
        <f t="shared" si="2327"/>
        <v>0</v>
      </c>
      <c r="E1857" s="45">
        <f t="shared" si="2328"/>
        <v>0</v>
      </c>
      <c r="F1857" s="45">
        <f t="shared" si="2335"/>
        <v>0</v>
      </c>
      <c r="G1857" s="79">
        <f t="shared" si="2336"/>
        <v>0</v>
      </c>
      <c r="H1857" s="199"/>
      <c r="I1857" s="199"/>
      <c r="J1857" s="200"/>
      <c r="K1857" s="201"/>
      <c r="L1857" s="276"/>
      <c r="M1857" s="276"/>
      <c r="N1857" s="235">
        <v>65542</v>
      </c>
      <c r="O1857" s="235">
        <v>28076</v>
      </c>
      <c r="P1857" s="235">
        <v>47130</v>
      </c>
      <c r="Q1857" s="235"/>
      <c r="R1857" s="235">
        <v>47296</v>
      </c>
      <c r="S1857" s="236">
        <v>6454</v>
      </c>
      <c r="T1857" s="236">
        <v>914</v>
      </c>
      <c r="U1857" s="236"/>
      <c r="V1857" s="235">
        <v>97303</v>
      </c>
      <c r="W1857" s="235">
        <v>42923</v>
      </c>
      <c r="X1857" s="235">
        <v>35556</v>
      </c>
      <c r="Y1857" s="235">
        <v>92778</v>
      </c>
      <c r="Z1857" s="235">
        <v>59207</v>
      </c>
    </row>
    <row r="1858" spans="1:26" ht="18" customHeight="1" x14ac:dyDescent="0.2">
      <c r="A1858" s="279">
        <f t="shared" si="2322"/>
        <v>44709</v>
      </c>
      <c r="B1858" s="279" t="s">
        <v>195</v>
      </c>
      <c r="C1858" s="48">
        <f t="shared" si="2334"/>
        <v>0</v>
      </c>
      <c r="D1858" s="84">
        <f t="shared" si="2327"/>
        <v>0</v>
      </c>
      <c r="E1858" s="45">
        <f t="shared" si="2328"/>
        <v>0</v>
      </c>
      <c r="F1858" s="45">
        <f t="shared" si="2335"/>
        <v>0</v>
      </c>
      <c r="G1858" s="79">
        <f t="shared" si="2336"/>
        <v>0</v>
      </c>
      <c r="H1858" s="199"/>
      <c r="I1858" s="199"/>
      <c r="J1858" s="200"/>
      <c r="K1858" s="201"/>
      <c r="L1858" s="276"/>
      <c r="M1858" s="276"/>
      <c r="N1858" s="153">
        <v>65542</v>
      </c>
      <c r="O1858" s="153">
        <v>28076</v>
      </c>
      <c r="P1858" s="153">
        <v>47130</v>
      </c>
      <c r="Q1858" s="153"/>
      <c r="R1858" s="153">
        <v>47296</v>
      </c>
      <c r="S1858" s="154">
        <v>6454</v>
      </c>
      <c r="T1858" s="154">
        <v>914</v>
      </c>
      <c r="U1858" s="154"/>
      <c r="V1858" s="153">
        <v>97303</v>
      </c>
      <c r="W1858" s="153">
        <v>42923</v>
      </c>
      <c r="X1858" s="153">
        <v>35556</v>
      </c>
      <c r="Y1858" s="153">
        <v>92778</v>
      </c>
      <c r="Z1858" s="153">
        <v>59207</v>
      </c>
    </row>
    <row r="1859" spans="1:26" ht="18" customHeight="1" x14ac:dyDescent="0.2">
      <c r="A1859" s="279">
        <f t="shared" si="2322"/>
        <v>44710</v>
      </c>
      <c r="B1859" s="278" t="s">
        <v>190</v>
      </c>
      <c r="C1859" s="48">
        <f t="shared" si="2334"/>
        <v>2458</v>
      </c>
      <c r="D1859" s="84">
        <f t="shared" si="2327"/>
        <v>3432</v>
      </c>
      <c r="E1859" s="45">
        <f t="shared" si="2328"/>
        <v>1579.9999999999727</v>
      </c>
      <c r="F1859" s="45">
        <f t="shared" si="2335"/>
        <v>136</v>
      </c>
      <c r="G1859" s="79">
        <f t="shared" si="2336"/>
        <v>7605.9999999999727</v>
      </c>
      <c r="H1859" s="199"/>
      <c r="I1859" s="199"/>
      <c r="J1859" s="200"/>
      <c r="K1859" s="201"/>
      <c r="L1859" s="276"/>
      <c r="M1859" s="276"/>
      <c r="N1859" s="153">
        <v>65542</v>
      </c>
      <c r="O1859" s="153">
        <v>28076</v>
      </c>
      <c r="P1859" s="153">
        <v>47130</v>
      </c>
      <c r="Q1859" s="153"/>
      <c r="R1859" s="153">
        <v>47296</v>
      </c>
      <c r="S1859" s="154">
        <v>6454</v>
      </c>
      <c r="T1859" s="154">
        <v>914</v>
      </c>
      <c r="U1859" s="154"/>
      <c r="V1859" s="153">
        <v>97303</v>
      </c>
      <c r="W1859" s="153">
        <v>42923</v>
      </c>
      <c r="X1859" s="153">
        <v>35556</v>
      </c>
      <c r="Y1859" s="153">
        <v>92778</v>
      </c>
      <c r="Z1859" s="153">
        <v>59207</v>
      </c>
    </row>
    <row r="1860" spans="1:26" ht="18" customHeight="1" x14ac:dyDescent="0.2">
      <c r="A1860" s="279">
        <f t="shared" si="2322"/>
        <v>44711</v>
      </c>
      <c r="B1860" s="280" t="s">
        <v>191</v>
      </c>
      <c r="C1860" s="48">
        <f t="shared" ref="C1860:C1867" si="2337">(V1861-V1860)*1+(W1861-W1860)*32+(X1861-X1860)*12+(Y1861-Y1860)*6</f>
        <v>2092</v>
      </c>
      <c r="D1860" s="84">
        <f t="shared" si="2327"/>
        <v>1400</v>
      </c>
      <c r="E1860" s="45">
        <f t="shared" si="2328"/>
        <v>1488.0000000000564</v>
      </c>
      <c r="F1860" s="45">
        <f t="shared" ref="F1860:F1867" si="2338">(Z1861-Z1860)*1</f>
        <v>66</v>
      </c>
      <c r="G1860" s="79">
        <f t="shared" ref="G1860:G1867" si="2339">C1860+D1860+F1860+E1860</f>
        <v>5046.0000000000564</v>
      </c>
      <c r="H1860" s="199"/>
      <c r="I1860" s="199"/>
      <c r="J1860" s="200"/>
      <c r="K1860" s="201"/>
      <c r="L1860" s="276"/>
      <c r="M1860" s="276"/>
      <c r="N1860" s="235">
        <v>65854</v>
      </c>
      <c r="O1860" s="235">
        <v>28193</v>
      </c>
      <c r="P1860" s="235">
        <v>47247</v>
      </c>
      <c r="Q1860" s="235"/>
      <c r="R1860" s="235">
        <v>47296</v>
      </c>
      <c r="S1860" s="236">
        <v>6473.4</v>
      </c>
      <c r="T1860" s="236">
        <v>914.7</v>
      </c>
      <c r="U1860" s="236"/>
      <c r="V1860" s="235">
        <v>97733</v>
      </c>
      <c r="W1860" s="235">
        <v>42968</v>
      </c>
      <c r="X1860" s="235">
        <v>35605</v>
      </c>
      <c r="Y1860" s="235">
        <v>92778</v>
      </c>
      <c r="Z1860" s="235">
        <v>59343</v>
      </c>
    </row>
    <row r="1861" spans="1:26" ht="18" customHeight="1" x14ac:dyDescent="0.2">
      <c r="A1861" s="279">
        <f t="shared" si="2322"/>
        <v>44712</v>
      </c>
      <c r="B1861" s="280" t="s">
        <v>192</v>
      </c>
      <c r="C1861" s="48">
        <f t="shared" si="2337"/>
        <v>2005</v>
      </c>
      <c r="D1861" s="84">
        <f t="shared" si="2327"/>
        <v>1464</v>
      </c>
      <c r="E1861" s="45">
        <f t="shared" si="2328"/>
        <v>1660</v>
      </c>
      <c r="F1861" s="45">
        <f t="shared" si="2338"/>
        <v>89</v>
      </c>
      <c r="G1861" s="79">
        <f t="shared" si="2339"/>
        <v>5218</v>
      </c>
      <c r="H1861" s="199"/>
      <c r="I1861" s="199"/>
      <c r="J1861" s="200"/>
      <c r="K1861" s="201"/>
      <c r="L1861" s="276"/>
      <c r="M1861" s="276"/>
      <c r="N1861" s="235">
        <v>66000</v>
      </c>
      <c r="O1861" s="235">
        <v>28251</v>
      </c>
      <c r="P1861" s="235">
        <v>47276</v>
      </c>
      <c r="Q1861" s="235"/>
      <c r="R1861" s="235">
        <v>47296</v>
      </c>
      <c r="S1861" s="236">
        <v>6491.6</v>
      </c>
      <c r="T1861" s="236">
        <v>915.5</v>
      </c>
      <c r="U1861" s="236"/>
      <c r="V1861" s="235">
        <v>97949</v>
      </c>
      <c r="W1861" s="235">
        <v>43006</v>
      </c>
      <c r="X1861" s="235">
        <v>35660</v>
      </c>
      <c r="Y1861" s="235">
        <v>92778</v>
      </c>
      <c r="Z1861" s="235">
        <v>59409</v>
      </c>
    </row>
    <row r="1862" spans="1:26" ht="18" customHeight="1" x14ac:dyDescent="0.2">
      <c r="A1862" s="279">
        <f t="shared" si="2322"/>
        <v>44713</v>
      </c>
      <c r="B1862" s="280" t="s">
        <v>193</v>
      </c>
      <c r="C1862" s="48">
        <f t="shared" si="2337"/>
        <v>2146</v>
      </c>
      <c r="D1862" s="84">
        <f t="shared" si="2327"/>
        <v>1520</v>
      </c>
      <c r="E1862" s="45">
        <f t="shared" si="2328"/>
        <v>1428.0000000000018</v>
      </c>
      <c r="F1862" s="45">
        <f t="shared" si="2338"/>
        <v>78</v>
      </c>
      <c r="G1862" s="79">
        <f t="shared" si="2339"/>
        <v>5172.0000000000018</v>
      </c>
      <c r="H1862" s="199"/>
      <c r="I1862" s="199"/>
      <c r="J1862" s="200"/>
      <c r="K1862" s="201"/>
      <c r="L1862" s="276"/>
      <c r="M1862" s="276"/>
      <c r="N1862" s="235">
        <v>66152</v>
      </c>
      <c r="O1862" s="235">
        <v>28311</v>
      </c>
      <c r="P1862" s="235">
        <v>47307</v>
      </c>
      <c r="Q1862" s="235"/>
      <c r="R1862" s="235">
        <v>47296</v>
      </c>
      <c r="S1862" s="236">
        <v>6510.6</v>
      </c>
      <c r="T1862" s="236">
        <v>919</v>
      </c>
      <c r="U1862" s="236"/>
      <c r="V1862" s="235">
        <v>98174</v>
      </c>
      <c r="W1862" s="235">
        <v>43044</v>
      </c>
      <c r="X1862" s="235">
        <v>35707</v>
      </c>
      <c r="Y1862" s="235">
        <v>92778</v>
      </c>
      <c r="Z1862" s="235">
        <v>59498</v>
      </c>
    </row>
    <row r="1863" spans="1:26" ht="18" customHeight="1" x14ac:dyDescent="0.2">
      <c r="A1863" s="279">
        <f t="shared" si="2322"/>
        <v>44714</v>
      </c>
      <c r="B1863" s="280" t="s">
        <v>194</v>
      </c>
      <c r="C1863" s="48">
        <f t="shared" si="2337"/>
        <v>0</v>
      </c>
      <c r="D1863" s="84">
        <f t="shared" si="2327"/>
        <v>0</v>
      </c>
      <c r="E1863" s="45">
        <f t="shared" si="2328"/>
        <v>0</v>
      </c>
      <c r="F1863" s="45">
        <f t="shared" si="2338"/>
        <v>0</v>
      </c>
      <c r="G1863" s="79">
        <f t="shared" si="2339"/>
        <v>0</v>
      </c>
      <c r="H1863" s="199"/>
      <c r="I1863" s="199"/>
      <c r="J1863" s="200"/>
      <c r="K1863" s="201"/>
      <c r="L1863" s="276"/>
      <c r="M1863" s="276"/>
      <c r="N1863" s="235">
        <v>66253</v>
      </c>
      <c r="O1863" s="235">
        <v>28350</v>
      </c>
      <c r="P1863" s="235">
        <v>47396</v>
      </c>
      <c r="Q1863" s="235"/>
      <c r="R1863" s="235">
        <v>47296</v>
      </c>
      <c r="S1863" s="236">
        <v>6528.1</v>
      </c>
      <c r="T1863" s="236">
        <v>919.7</v>
      </c>
      <c r="U1863" s="236"/>
      <c r="V1863" s="235">
        <v>98388</v>
      </c>
      <c r="W1863" s="235">
        <v>43086</v>
      </c>
      <c r="X1863" s="235">
        <v>35756</v>
      </c>
      <c r="Y1863" s="235">
        <v>92778</v>
      </c>
      <c r="Z1863" s="235">
        <v>59576</v>
      </c>
    </row>
    <row r="1864" spans="1:26" ht="18" customHeight="1" x14ac:dyDescent="0.2">
      <c r="A1864" s="279">
        <f t="shared" si="2322"/>
        <v>44715</v>
      </c>
      <c r="B1864" s="278" t="s">
        <v>189</v>
      </c>
      <c r="C1864" s="48">
        <f t="shared" si="2337"/>
        <v>0</v>
      </c>
      <c r="D1864" s="84">
        <f t="shared" si="2327"/>
        <v>0</v>
      </c>
      <c r="E1864" s="45">
        <f t="shared" si="2328"/>
        <v>0</v>
      </c>
      <c r="F1864" s="45">
        <f t="shared" si="2338"/>
        <v>0</v>
      </c>
      <c r="G1864" s="79">
        <f t="shared" si="2339"/>
        <v>0</v>
      </c>
      <c r="H1864" s="199"/>
      <c r="I1864" s="199"/>
      <c r="J1864" s="200"/>
      <c r="K1864" s="201"/>
      <c r="L1864" s="276"/>
      <c r="M1864" s="276"/>
      <c r="N1864" s="153">
        <v>66253</v>
      </c>
      <c r="O1864" s="153">
        <v>28350</v>
      </c>
      <c r="P1864" s="153">
        <v>47396</v>
      </c>
      <c r="Q1864" s="153"/>
      <c r="R1864" s="153">
        <v>47296</v>
      </c>
      <c r="S1864" s="154">
        <v>6528.1</v>
      </c>
      <c r="T1864" s="154">
        <v>919.7</v>
      </c>
      <c r="U1864" s="154"/>
      <c r="V1864" s="153">
        <v>98388</v>
      </c>
      <c r="W1864" s="153">
        <v>43086</v>
      </c>
      <c r="X1864" s="153">
        <v>35756</v>
      </c>
      <c r="Y1864" s="153">
        <v>92778</v>
      </c>
      <c r="Z1864" s="153">
        <v>59576</v>
      </c>
    </row>
    <row r="1865" spans="1:26" ht="18" customHeight="1" x14ac:dyDescent="0.2">
      <c r="A1865" s="279">
        <f t="shared" si="2322"/>
        <v>44716</v>
      </c>
      <c r="B1865" s="279" t="s">
        <v>195</v>
      </c>
      <c r="C1865" s="48">
        <f t="shared" si="2337"/>
        <v>0</v>
      </c>
      <c r="D1865" s="84">
        <f t="shared" si="2327"/>
        <v>0</v>
      </c>
      <c r="E1865" s="45">
        <f t="shared" si="2328"/>
        <v>0</v>
      </c>
      <c r="F1865" s="45">
        <f t="shared" si="2338"/>
        <v>0</v>
      </c>
      <c r="G1865" s="79">
        <f t="shared" si="2339"/>
        <v>0</v>
      </c>
      <c r="H1865" s="199"/>
      <c r="I1865" s="199"/>
      <c r="J1865" s="200"/>
      <c r="K1865" s="201"/>
      <c r="L1865" s="276"/>
      <c r="M1865" s="276"/>
      <c r="N1865" s="153">
        <v>66253</v>
      </c>
      <c r="O1865" s="153">
        <v>28350</v>
      </c>
      <c r="P1865" s="153">
        <v>47396</v>
      </c>
      <c r="Q1865" s="153"/>
      <c r="R1865" s="153">
        <v>47296</v>
      </c>
      <c r="S1865" s="154">
        <v>6528.1</v>
      </c>
      <c r="T1865" s="154">
        <v>919.7</v>
      </c>
      <c r="U1865" s="154"/>
      <c r="V1865" s="153">
        <v>98388</v>
      </c>
      <c r="W1865" s="153">
        <v>43086</v>
      </c>
      <c r="X1865" s="153">
        <v>35756</v>
      </c>
      <c r="Y1865" s="153">
        <v>92778</v>
      </c>
      <c r="Z1865" s="153">
        <v>59576</v>
      </c>
    </row>
    <row r="1866" spans="1:26" ht="18" customHeight="1" x14ac:dyDescent="0.2">
      <c r="A1866" s="279">
        <f t="shared" si="2322"/>
        <v>44717</v>
      </c>
      <c r="B1866" s="278" t="s">
        <v>190</v>
      </c>
      <c r="C1866" s="48">
        <f t="shared" si="2337"/>
        <v>3134</v>
      </c>
      <c r="D1866" s="84">
        <f t="shared" si="2327"/>
        <v>4504</v>
      </c>
      <c r="E1866" s="45">
        <f t="shared" si="2328"/>
        <v>1800</v>
      </c>
      <c r="F1866" s="45">
        <f t="shared" si="2338"/>
        <v>344</v>
      </c>
      <c r="G1866" s="79">
        <f t="shared" si="2339"/>
        <v>9782</v>
      </c>
      <c r="H1866" s="199"/>
      <c r="I1866" s="199"/>
      <c r="J1866" s="200"/>
      <c r="K1866" s="201"/>
      <c r="L1866" s="276"/>
      <c r="M1866" s="276"/>
      <c r="N1866" s="153">
        <v>66253</v>
      </c>
      <c r="O1866" s="153">
        <v>28350</v>
      </c>
      <c r="P1866" s="153">
        <v>47396</v>
      </c>
      <c r="Q1866" s="153"/>
      <c r="R1866" s="153">
        <v>47296</v>
      </c>
      <c r="S1866" s="154">
        <v>6528.1</v>
      </c>
      <c r="T1866" s="154">
        <v>919.7</v>
      </c>
      <c r="U1866" s="154"/>
      <c r="V1866" s="153">
        <v>98388</v>
      </c>
      <c r="W1866" s="153">
        <v>43086</v>
      </c>
      <c r="X1866" s="153">
        <v>35756</v>
      </c>
      <c r="Y1866" s="153">
        <v>92778</v>
      </c>
      <c r="Z1866" s="153">
        <v>59576</v>
      </c>
    </row>
    <row r="1867" spans="1:26" ht="18" customHeight="1" x14ac:dyDescent="0.2">
      <c r="A1867" s="279">
        <f t="shared" si="2322"/>
        <v>44718</v>
      </c>
      <c r="B1867" s="280" t="s">
        <v>191</v>
      </c>
      <c r="C1867" s="48">
        <f t="shared" si="2337"/>
        <v>2311</v>
      </c>
      <c r="D1867" s="84">
        <f t="shared" si="2327"/>
        <v>1872</v>
      </c>
      <c r="E1867" s="45">
        <f t="shared" si="2328"/>
        <v>1363.9999999999418</v>
      </c>
      <c r="F1867" s="45">
        <f t="shared" si="2338"/>
        <v>71</v>
      </c>
      <c r="G1867" s="79">
        <f t="shared" si="2339"/>
        <v>5617.9999999999418</v>
      </c>
      <c r="H1867" s="199"/>
      <c r="I1867" s="199"/>
      <c r="J1867" s="200"/>
      <c r="K1867" s="201"/>
      <c r="L1867" s="276"/>
      <c r="M1867" s="276"/>
      <c r="N1867" s="235">
        <v>66665</v>
      </c>
      <c r="O1867" s="235">
        <v>28512</v>
      </c>
      <c r="P1867" s="235">
        <v>47547</v>
      </c>
      <c r="Q1867" s="235"/>
      <c r="R1867" s="235">
        <v>47296</v>
      </c>
      <c r="S1867" s="236">
        <v>6550.1</v>
      </c>
      <c r="T1867" s="236">
        <v>920.7</v>
      </c>
      <c r="U1867" s="236"/>
      <c r="V1867" s="235">
        <v>98998</v>
      </c>
      <c r="W1867" s="235">
        <v>43148</v>
      </c>
      <c r="X1867" s="235">
        <v>35801</v>
      </c>
      <c r="Y1867" s="235">
        <v>92778</v>
      </c>
      <c r="Z1867" s="235">
        <v>59920</v>
      </c>
    </row>
    <row r="1868" spans="1:26" ht="18" customHeight="1" x14ac:dyDescent="0.2">
      <c r="A1868" s="279">
        <f t="shared" si="2322"/>
        <v>44719</v>
      </c>
      <c r="B1868" s="280" t="s">
        <v>192</v>
      </c>
      <c r="C1868" s="48">
        <f t="shared" ref="C1868:C1874" si="2340">(V1869-V1868)*1+(W1869-W1868)*32+(X1869-X1868)*12+(Y1869-Y1868)*6</f>
        <v>2216</v>
      </c>
      <c r="D1868" s="84">
        <f t="shared" si="2327"/>
        <v>1880</v>
      </c>
      <c r="E1868" s="45">
        <f t="shared" si="2328"/>
        <v>1480.0000000000273</v>
      </c>
      <c r="F1868" s="45">
        <f t="shared" ref="F1868:F1874" si="2341">(Z1869-Z1868)*1</f>
        <v>74</v>
      </c>
      <c r="G1868" s="79">
        <f t="shared" ref="G1868:G1874" si="2342">C1868+D1868+F1868+E1868</f>
        <v>5650.0000000000273</v>
      </c>
      <c r="H1868" s="199"/>
      <c r="I1868" s="199"/>
      <c r="J1868" s="200"/>
      <c r="K1868" s="201"/>
      <c r="L1868" s="276"/>
      <c r="M1868" s="276"/>
      <c r="N1868" s="235">
        <v>66799</v>
      </c>
      <c r="O1868" s="235">
        <v>28563</v>
      </c>
      <c r="P1868" s="235">
        <v>47647</v>
      </c>
      <c r="Q1868" s="235"/>
      <c r="R1868" s="235">
        <v>47296</v>
      </c>
      <c r="S1868" s="236">
        <v>6566.9</v>
      </c>
      <c r="T1868" s="236">
        <v>921.2</v>
      </c>
      <c r="U1868" s="236"/>
      <c r="V1868" s="235">
        <v>99209</v>
      </c>
      <c r="W1868" s="235">
        <v>43193</v>
      </c>
      <c r="X1868" s="235">
        <v>35856</v>
      </c>
      <c r="Y1868" s="235">
        <v>92778</v>
      </c>
      <c r="Z1868" s="235">
        <v>59991</v>
      </c>
    </row>
    <row r="1869" spans="1:26" ht="18" customHeight="1" x14ac:dyDescent="0.2">
      <c r="A1869" s="279">
        <f t="shared" si="2322"/>
        <v>44720</v>
      </c>
      <c r="B1869" s="280" t="s">
        <v>193</v>
      </c>
      <c r="C1869" s="48">
        <f t="shared" si="2340"/>
        <v>2120</v>
      </c>
      <c r="D1869" s="84">
        <f t="shared" si="2327"/>
        <v>1920</v>
      </c>
      <c r="E1869" s="45">
        <f t="shared" si="2328"/>
        <v>1680.0000000000136</v>
      </c>
      <c r="F1869" s="45">
        <f t="shared" si="2341"/>
        <v>62</v>
      </c>
      <c r="G1869" s="79">
        <f t="shared" si="2342"/>
        <v>5782.0000000000136</v>
      </c>
      <c r="H1869" s="199"/>
      <c r="I1869" s="199"/>
      <c r="J1869" s="200"/>
      <c r="K1869" s="201"/>
      <c r="L1869" s="276"/>
      <c r="M1869" s="276"/>
      <c r="N1869" s="235">
        <v>66931</v>
      </c>
      <c r="O1869" s="235">
        <v>28615</v>
      </c>
      <c r="P1869" s="235">
        <v>47750</v>
      </c>
      <c r="Q1869" s="235"/>
      <c r="R1869" s="235">
        <v>47296</v>
      </c>
      <c r="S1869" s="236">
        <v>6585</v>
      </c>
      <c r="T1869" s="236">
        <v>922</v>
      </c>
      <c r="U1869" s="236"/>
      <c r="V1869" s="235">
        <v>99389</v>
      </c>
      <c r="W1869" s="235">
        <v>43233</v>
      </c>
      <c r="X1869" s="235">
        <v>35919</v>
      </c>
      <c r="Y1869" s="235">
        <v>92778</v>
      </c>
      <c r="Z1869" s="235">
        <v>60065</v>
      </c>
    </row>
    <row r="1870" spans="1:26" ht="18" customHeight="1" x14ac:dyDescent="0.2">
      <c r="A1870" s="279">
        <f t="shared" si="2322"/>
        <v>44721</v>
      </c>
      <c r="B1870" s="280" t="s">
        <v>194</v>
      </c>
      <c r="C1870" s="48">
        <f t="shared" si="2340"/>
        <v>2411</v>
      </c>
      <c r="D1870" s="84">
        <f t="shared" si="2327"/>
        <v>1872</v>
      </c>
      <c r="E1870" s="45">
        <f t="shared" si="2328"/>
        <v>1751.9999999999845</v>
      </c>
      <c r="F1870" s="45">
        <f t="shared" si="2341"/>
        <v>56</v>
      </c>
      <c r="G1870" s="79">
        <f t="shared" si="2342"/>
        <v>6090.9999999999845</v>
      </c>
      <c r="H1870" s="199"/>
      <c r="I1870" s="199"/>
      <c r="J1870" s="200"/>
      <c r="K1870" s="201"/>
      <c r="L1870" s="276"/>
      <c r="M1870" s="276"/>
      <c r="N1870" s="235">
        <v>67070</v>
      </c>
      <c r="O1870" s="235">
        <v>28667</v>
      </c>
      <c r="P1870" s="235">
        <v>47851</v>
      </c>
      <c r="Q1870" s="235"/>
      <c r="R1870" s="235">
        <v>47296</v>
      </c>
      <c r="S1870" s="236">
        <v>6605.8</v>
      </c>
      <c r="T1870" s="236">
        <v>922.4</v>
      </c>
      <c r="U1870" s="236"/>
      <c r="V1870" s="235">
        <v>99573</v>
      </c>
      <c r="W1870" s="235">
        <v>43268</v>
      </c>
      <c r="X1870" s="235">
        <v>35987</v>
      </c>
      <c r="Y1870" s="235">
        <v>92778</v>
      </c>
      <c r="Z1870" s="235">
        <v>60127</v>
      </c>
    </row>
    <row r="1871" spans="1:26" ht="18" customHeight="1" x14ac:dyDescent="0.2">
      <c r="A1871" s="279">
        <f t="shared" si="2322"/>
        <v>44722</v>
      </c>
      <c r="B1871" s="278" t="s">
        <v>189</v>
      </c>
      <c r="C1871" s="48">
        <f t="shared" si="2340"/>
        <v>0</v>
      </c>
      <c r="D1871" s="84">
        <f t="shared" si="2327"/>
        <v>0</v>
      </c>
      <c r="E1871" s="45">
        <f t="shared" si="2328"/>
        <v>0</v>
      </c>
      <c r="F1871" s="45">
        <f t="shared" si="2341"/>
        <v>0</v>
      </c>
      <c r="G1871" s="79">
        <f t="shared" si="2342"/>
        <v>0</v>
      </c>
      <c r="H1871" s="199"/>
      <c r="I1871" s="199"/>
      <c r="J1871" s="200"/>
      <c r="K1871" s="201"/>
      <c r="L1871" s="276"/>
      <c r="M1871" s="276"/>
      <c r="N1871" s="235">
        <v>67210</v>
      </c>
      <c r="O1871" s="235">
        <v>28719</v>
      </c>
      <c r="P1871" s="235">
        <v>47945</v>
      </c>
      <c r="Q1871" s="235"/>
      <c r="R1871" s="235">
        <v>47296</v>
      </c>
      <c r="S1871" s="236">
        <v>6627.5</v>
      </c>
      <c r="T1871" s="236">
        <v>922.8</v>
      </c>
      <c r="U1871" s="236"/>
      <c r="V1871" s="235">
        <v>99776</v>
      </c>
      <c r="W1871" s="235">
        <v>43313</v>
      </c>
      <c r="X1871" s="235">
        <v>36051</v>
      </c>
      <c r="Y1871" s="235">
        <v>92778</v>
      </c>
      <c r="Z1871" s="235">
        <v>60183</v>
      </c>
    </row>
    <row r="1872" spans="1:26" ht="18" customHeight="1" x14ac:dyDescent="0.2">
      <c r="A1872" s="279">
        <f t="shared" si="2322"/>
        <v>44723</v>
      </c>
      <c r="B1872" s="279" t="s">
        <v>195</v>
      </c>
      <c r="C1872" s="48">
        <f t="shared" si="2340"/>
        <v>0</v>
      </c>
      <c r="D1872" s="84">
        <f t="shared" si="2327"/>
        <v>0</v>
      </c>
      <c r="E1872" s="45">
        <f t="shared" si="2328"/>
        <v>0</v>
      </c>
      <c r="F1872" s="45">
        <f t="shared" si="2341"/>
        <v>0</v>
      </c>
      <c r="G1872" s="79">
        <f t="shared" si="2342"/>
        <v>0</v>
      </c>
      <c r="H1872" s="199"/>
      <c r="I1872" s="199"/>
      <c r="J1872" s="200"/>
      <c r="K1872" s="201"/>
      <c r="L1872" s="276"/>
      <c r="M1872" s="276"/>
      <c r="N1872" s="153">
        <v>67210</v>
      </c>
      <c r="O1872" s="153">
        <v>28719</v>
      </c>
      <c r="P1872" s="153">
        <v>47945</v>
      </c>
      <c r="Q1872" s="153"/>
      <c r="R1872" s="153">
        <v>47296</v>
      </c>
      <c r="S1872" s="154">
        <v>6627.5</v>
      </c>
      <c r="T1872" s="154">
        <v>922.8</v>
      </c>
      <c r="U1872" s="154"/>
      <c r="V1872" s="153">
        <v>99776</v>
      </c>
      <c r="W1872" s="153">
        <v>43313</v>
      </c>
      <c r="X1872" s="153">
        <v>36051</v>
      </c>
      <c r="Y1872" s="153">
        <v>92778</v>
      </c>
      <c r="Z1872" s="153">
        <v>60183</v>
      </c>
    </row>
    <row r="1873" spans="1:26" ht="18" customHeight="1" x14ac:dyDescent="0.2">
      <c r="A1873" s="279">
        <f t="shared" si="2322"/>
        <v>44724</v>
      </c>
      <c r="B1873" s="278" t="s">
        <v>190</v>
      </c>
      <c r="C1873" s="48">
        <f t="shared" si="2340"/>
        <v>2687</v>
      </c>
      <c r="D1873" s="84">
        <f t="shared" si="2327"/>
        <v>3816</v>
      </c>
      <c r="E1873" s="45">
        <f t="shared" si="2328"/>
        <v>2348.0000000000018</v>
      </c>
      <c r="F1873" s="45">
        <f t="shared" si="2341"/>
        <v>201</v>
      </c>
      <c r="G1873" s="79">
        <f t="shared" si="2342"/>
        <v>9052.0000000000018</v>
      </c>
      <c r="H1873" s="199"/>
      <c r="I1873" s="199"/>
      <c r="J1873" s="200"/>
      <c r="K1873" s="201"/>
      <c r="L1873" s="276"/>
      <c r="M1873" s="276"/>
      <c r="N1873" s="153">
        <v>67210</v>
      </c>
      <c r="O1873" s="153">
        <v>28719</v>
      </c>
      <c r="P1873" s="153">
        <v>47945</v>
      </c>
      <c r="Q1873" s="153"/>
      <c r="R1873" s="153">
        <v>47296</v>
      </c>
      <c r="S1873" s="154">
        <v>6627.5</v>
      </c>
      <c r="T1873" s="154">
        <v>922.8</v>
      </c>
      <c r="U1873" s="154"/>
      <c r="V1873" s="153">
        <v>99776</v>
      </c>
      <c r="W1873" s="153">
        <v>43313</v>
      </c>
      <c r="X1873" s="153">
        <v>36051</v>
      </c>
      <c r="Y1873" s="153">
        <v>92778</v>
      </c>
      <c r="Z1873" s="153">
        <v>60183</v>
      </c>
    </row>
    <row r="1874" spans="1:26" ht="18" customHeight="1" x14ac:dyDescent="0.2">
      <c r="A1874" s="279">
        <f t="shared" si="2322"/>
        <v>44725</v>
      </c>
      <c r="B1874" s="280" t="s">
        <v>191</v>
      </c>
      <c r="C1874" s="48">
        <f t="shared" si="2340"/>
        <v>2381</v>
      </c>
      <c r="D1874" s="84">
        <f t="shared" si="2327"/>
        <v>1760</v>
      </c>
      <c r="E1874" s="45">
        <f t="shared" si="2328"/>
        <v>1895.9999999999718</v>
      </c>
      <c r="F1874" s="45">
        <f t="shared" si="2341"/>
        <v>56</v>
      </c>
      <c r="G1874" s="79">
        <f t="shared" si="2342"/>
        <v>6092.9999999999718</v>
      </c>
      <c r="H1874" s="199"/>
      <c r="I1874" s="199"/>
      <c r="J1874" s="200"/>
      <c r="K1874" s="201"/>
      <c r="L1874" s="276"/>
      <c r="M1874" s="276"/>
      <c r="N1874" s="235">
        <v>67557</v>
      </c>
      <c r="O1874" s="235">
        <v>28854</v>
      </c>
      <c r="P1874" s="235">
        <v>48075</v>
      </c>
      <c r="Q1874" s="235"/>
      <c r="R1874" s="235">
        <v>47296</v>
      </c>
      <c r="S1874" s="236">
        <v>6656.5</v>
      </c>
      <c r="T1874" s="236">
        <v>923.5</v>
      </c>
      <c r="U1874" s="236"/>
      <c r="V1874" s="235">
        <v>100199</v>
      </c>
      <c r="W1874" s="235">
        <v>43365</v>
      </c>
      <c r="X1874" s="235">
        <v>36101</v>
      </c>
      <c r="Y1874" s="235">
        <v>92778</v>
      </c>
      <c r="Z1874" s="235">
        <v>60384</v>
      </c>
    </row>
    <row r="1875" spans="1:26" ht="18" customHeight="1" x14ac:dyDescent="0.2">
      <c r="A1875" s="279">
        <f t="shared" si="2322"/>
        <v>44726</v>
      </c>
      <c r="B1875" s="280" t="s">
        <v>192</v>
      </c>
      <c r="C1875" s="48">
        <f t="shared" ref="C1875:C1880" si="2343">(V1876-V1875)*1+(W1876-W1875)*32+(X1876-X1875)*12+(Y1876-Y1875)*6</f>
        <v>2398</v>
      </c>
      <c r="D1875" s="84">
        <f t="shared" si="2327"/>
        <v>1816</v>
      </c>
      <c r="E1875" s="45">
        <f t="shared" si="2328"/>
        <v>1732.0000000000118</v>
      </c>
      <c r="F1875" s="45">
        <f t="shared" ref="F1875:F1880" si="2344">(Z1876-Z1875)*1</f>
        <v>91</v>
      </c>
      <c r="G1875" s="79">
        <f t="shared" ref="G1875:G1880" si="2345">C1875+D1875+F1875+E1875</f>
        <v>6037.0000000000118</v>
      </c>
      <c r="H1875" s="199"/>
      <c r="I1875" s="199"/>
      <c r="J1875" s="200"/>
      <c r="K1875" s="201"/>
      <c r="L1875" s="276"/>
      <c r="M1875" s="276"/>
      <c r="N1875" s="235">
        <v>67689</v>
      </c>
      <c r="O1875" s="235">
        <v>28905</v>
      </c>
      <c r="P1875" s="235">
        <v>48163</v>
      </c>
      <c r="Q1875" s="235"/>
      <c r="R1875" s="235">
        <v>47296</v>
      </c>
      <c r="S1875" s="236">
        <v>6679.9</v>
      </c>
      <c r="T1875" s="236">
        <v>924.1</v>
      </c>
      <c r="U1875" s="236"/>
      <c r="V1875" s="235">
        <v>100408</v>
      </c>
      <c r="W1875" s="235">
        <v>43410</v>
      </c>
      <c r="X1875" s="235">
        <v>36162</v>
      </c>
      <c r="Y1875" s="235">
        <v>92778</v>
      </c>
      <c r="Z1875" s="235">
        <v>60440</v>
      </c>
    </row>
    <row r="1876" spans="1:26" ht="18" customHeight="1" x14ac:dyDescent="0.2">
      <c r="A1876" s="279">
        <f t="shared" si="2322"/>
        <v>44727</v>
      </c>
      <c r="B1876" s="280" t="s">
        <v>193</v>
      </c>
      <c r="C1876" s="48">
        <f t="shared" si="2343"/>
        <v>2301</v>
      </c>
      <c r="D1876" s="84">
        <f t="shared" si="2327"/>
        <v>1920</v>
      </c>
      <c r="E1876" s="45">
        <f t="shared" si="2328"/>
        <v>1999.9999999999864</v>
      </c>
      <c r="F1876" s="45">
        <f t="shared" si="2344"/>
        <v>52</v>
      </c>
      <c r="G1876" s="79">
        <f t="shared" si="2345"/>
        <v>6272.9999999999864</v>
      </c>
      <c r="H1876" s="199"/>
      <c r="I1876" s="199"/>
      <c r="J1876" s="200"/>
      <c r="K1876" s="201"/>
      <c r="L1876" s="276"/>
      <c r="M1876" s="276"/>
      <c r="N1876" s="235">
        <v>67825</v>
      </c>
      <c r="O1876" s="235">
        <v>28957</v>
      </c>
      <c r="P1876" s="235">
        <v>48254</v>
      </c>
      <c r="Q1876" s="235"/>
      <c r="R1876" s="235">
        <v>47296</v>
      </c>
      <c r="S1876" s="236">
        <v>6701.2</v>
      </c>
      <c r="T1876" s="236">
        <v>924.8</v>
      </c>
      <c r="U1876" s="236"/>
      <c r="V1876" s="235">
        <v>100626</v>
      </c>
      <c r="W1876" s="235">
        <v>43456</v>
      </c>
      <c r="X1876" s="235">
        <v>36221</v>
      </c>
      <c r="Y1876" s="235">
        <v>92778</v>
      </c>
      <c r="Z1876" s="235">
        <v>60531</v>
      </c>
    </row>
    <row r="1877" spans="1:26" ht="18" customHeight="1" x14ac:dyDescent="0.2">
      <c r="A1877" s="279">
        <f t="shared" si="2322"/>
        <v>44728</v>
      </c>
      <c r="B1877" s="280" t="s">
        <v>194</v>
      </c>
      <c r="C1877" s="48">
        <f t="shared" si="2343"/>
        <v>2220</v>
      </c>
      <c r="D1877" s="84">
        <f t="shared" si="2327"/>
        <v>1720</v>
      </c>
      <c r="E1877" s="45">
        <f t="shared" si="2328"/>
        <v>1804.00000000006</v>
      </c>
      <c r="F1877" s="45">
        <f t="shared" si="2344"/>
        <v>59</v>
      </c>
      <c r="G1877" s="79">
        <f t="shared" si="2345"/>
        <v>5803.00000000006</v>
      </c>
      <c r="H1877" s="199"/>
      <c r="I1877" s="199"/>
      <c r="J1877" s="200"/>
      <c r="K1877" s="201"/>
      <c r="L1877" s="276"/>
      <c r="M1877" s="276"/>
      <c r="N1877" s="235">
        <v>67977</v>
      </c>
      <c r="O1877" s="235">
        <v>29011</v>
      </c>
      <c r="P1877" s="235">
        <v>48342</v>
      </c>
      <c r="Q1877" s="235"/>
      <c r="R1877" s="235">
        <v>47296</v>
      </c>
      <c r="S1877" s="236">
        <v>6725.9</v>
      </c>
      <c r="T1877" s="236">
        <v>925.4</v>
      </c>
      <c r="U1877" s="236"/>
      <c r="V1877" s="235">
        <v>100839</v>
      </c>
      <c r="W1877" s="235">
        <v>43501</v>
      </c>
      <c r="X1877" s="235">
        <v>36275</v>
      </c>
      <c r="Y1877" s="235">
        <v>92778</v>
      </c>
      <c r="Z1877" s="235">
        <v>60583</v>
      </c>
    </row>
    <row r="1878" spans="1:26" ht="18" customHeight="1" x14ac:dyDescent="0.2">
      <c r="A1878" s="279">
        <f t="shared" si="2322"/>
        <v>44729</v>
      </c>
      <c r="B1878" s="278" t="s">
        <v>189</v>
      </c>
      <c r="C1878" s="48">
        <f t="shared" si="2343"/>
        <v>0</v>
      </c>
      <c r="D1878" s="84">
        <f t="shared" si="2327"/>
        <v>0</v>
      </c>
      <c r="E1878" s="45">
        <f t="shared" si="2328"/>
        <v>0</v>
      </c>
      <c r="F1878" s="45">
        <f t="shared" si="2344"/>
        <v>0</v>
      </c>
      <c r="G1878" s="79">
        <f t="shared" si="2345"/>
        <v>0</v>
      </c>
      <c r="H1878" s="199"/>
      <c r="I1878" s="199"/>
      <c r="J1878" s="200"/>
      <c r="K1878" s="201"/>
      <c r="L1878" s="276"/>
      <c r="M1878" s="276"/>
      <c r="N1878" s="235">
        <v>68100</v>
      </c>
      <c r="O1878" s="235">
        <v>29063</v>
      </c>
      <c r="P1878" s="235">
        <v>48434</v>
      </c>
      <c r="Q1878" s="235"/>
      <c r="R1878" s="235">
        <v>47296</v>
      </c>
      <c r="S1878" s="236">
        <v>6748.1</v>
      </c>
      <c r="T1878" s="236">
        <v>926.1</v>
      </c>
      <c r="U1878" s="236"/>
      <c r="V1878" s="235">
        <v>101043</v>
      </c>
      <c r="W1878" s="235">
        <v>43543</v>
      </c>
      <c r="X1878" s="235">
        <v>36331</v>
      </c>
      <c r="Y1878" s="235">
        <v>92778</v>
      </c>
      <c r="Z1878" s="235">
        <v>60642</v>
      </c>
    </row>
    <row r="1879" spans="1:26" ht="18" customHeight="1" x14ac:dyDescent="0.2">
      <c r="A1879" s="279">
        <f t="shared" si="2322"/>
        <v>44730</v>
      </c>
      <c r="B1879" s="279" t="s">
        <v>195</v>
      </c>
      <c r="C1879" s="48">
        <f t="shared" si="2343"/>
        <v>0</v>
      </c>
      <c r="D1879" s="84">
        <f t="shared" si="2327"/>
        <v>0</v>
      </c>
      <c r="E1879" s="45">
        <f t="shared" si="2328"/>
        <v>0</v>
      </c>
      <c r="F1879" s="45">
        <f t="shared" si="2344"/>
        <v>0</v>
      </c>
      <c r="G1879" s="79">
        <f t="shared" si="2345"/>
        <v>0</v>
      </c>
      <c r="H1879" s="199"/>
      <c r="I1879" s="199"/>
      <c r="J1879" s="200"/>
      <c r="K1879" s="201"/>
      <c r="L1879" s="276"/>
      <c r="M1879" s="276"/>
      <c r="N1879" s="153">
        <v>68100</v>
      </c>
      <c r="O1879" s="153">
        <v>29063</v>
      </c>
      <c r="P1879" s="153">
        <v>48434</v>
      </c>
      <c r="Q1879" s="153"/>
      <c r="R1879" s="153">
        <v>47296</v>
      </c>
      <c r="S1879" s="154">
        <v>6748.1</v>
      </c>
      <c r="T1879" s="154">
        <v>926.1</v>
      </c>
      <c r="U1879" s="154"/>
      <c r="V1879" s="153">
        <v>101043</v>
      </c>
      <c r="W1879" s="153">
        <v>43543</v>
      </c>
      <c r="X1879" s="153">
        <v>36331</v>
      </c>
      <c r="Y1879" s="153">
        <v>92778</v>
      </c>
      <c r="Z1879" s="153">
        <v>60642</v>
      </c>
    </row>
    <row r="1880" spans="1:26" ht="18" customHeight="1" x14ac:dyDescent="0.2">
      <c r="A1880" s="279">
        <f t="shared" si="2322"/>
        <v>44731</v>
      </c>
      <c r="B1880" s="278" t="s">
        <v>190</v>
      </c>
      <c r="C1880" s="48">
        <f t="shared" si="2343"/>
        <v>3382</v>
      </c>
      <c r="D1880" s="84">
        <f t="shared" si="2327"/>
        <v>3552</v>
      </c>
      <c r="E1880" s="45">
        <f t="shared" si="2328"/>
        <v>2475.99999999994</v>
      </c>
      <c r="F1880" s="45">
        <f t="shared" si="2344"/>
        <v>216</v>
      </c>
      <c r="G1880" s="79">
        <f t="shared" si="2345"/>
        <v>9625.99999999994</v>
      </c>
      <c r="H1880" s="199"/>
      <c r="I1880" s="199"/>
      <c r="J1880" s="200"/>
      <c r="K1880" s="201"/>
      <c r="L1880" s="276"/>
      <c r="M1880" s="276"/>
      <c r="N1880" s="153">
        <v>68100</v>
      </c>
      <c r="O1880" s="153">
        <v>29063</v>
      </c>
      <c r="P1880" s="153">
        <v>48434</v>
      </c>
      <c r="Q1880" s="153"/>
      <c r="R1880" s="153">
        <v>47296</v>
      </c>
      <c r="S1880" s="154">
        <v>6748.1</v>
      </c>
      <c r="T1880" s="154">
        <v>926.1</v>
      </c>
      <c r="U1880" s="154"/>
      <c r="V1880" s="153">
        <v>101043</v>
      </c>
      <c r="W1880" s="153">
        <v>43543</v>
      </c>
      <c r="X1880" s="153">
        <v>36331</v>
      </c>
      <c r="Y1880" s="153">
        <v>92778</v>
      </c>
      <c r="Z1880" s="153">
        <v>60642</v>
      </c>
    </row>
    <row r="1881" spans="1:26" ht="18" customHeight="1" x14ac:dyDescent="0.2">
      <c r="A1881" s="279">
        <f t="shared" si="2322"/>
        <v>44732</v>
      </c>
      <c r="B1881" s="280" t="s">
        <v>191</v>
      </c>
      <c r="C1881" s="48">
        <f t="shared" ref="C1881:C1887" si="2346">(V1882-V1881)*1+(W1882-W1881)*32+(X1882-X1881)*12+(Y1882-Y1881)*6</f>
        <v>2546</v>
      </c>
      <c r="D1881" s="84">
        <f t="shared" si="2327"/>
        <v>1824</v>
      </c>
      <c r="E1881" s="45">
        <f t="shared" si="2328"/>
        <v>1900.0000000000455</v>
      </c>
      <c r="F1881" s="45">
        <f t="shared" ref="F1881:F1887" si="2347">(Z1882-Z1881)*1</f>
        <v>77</v>
      </c>
      <c r="G1881" s="79">
        <f t="shared" ref="G1881:G1887" si="2348">C1881+D1881+F1881+E1881</f>
        <v>6347.0000000000455</v>
      </c>
      <c r="H1881" s="199"/>
      <c r="I1881" s="199"/>
      <c r="J1881" s="200"/>
      <c r="K1881" s="201"/>
      <c r="L1881" s="276"/>
      <c r="M1881" s="276"/>
      <c r="N1881" s="235">
        <v>68419</v>
      </c>
      <c r="O1881" s="235">
        <v>29187</v>
      </c>
      <c r="P1881" s="235">
        <v>48559</v>
      </c>
      <c r="Q1881" s="235"/>
      <c r="R1881" s="235">
        <v>47296</v>
      </c>
      <c r="S1881" s="236">
        <v>6778.4</v>
      </c>
      <c r="T1881" s="236">
        <v>927.4</v>
      </c>
      <c r="U1881" s="236"/>
      <c r="V1881" s="235">
        <v>101545</v>
      </c>
      <c r="W1881" s="235">
        <v>43609</v>
      </c>
      <c r="X1881" s="235">
        <v>36395</v>
      </c>
      <c r="Y1881" s="235">
        <v>92778</v>
      </c>
      <c r="Z1881" s="235">
        <v>60858</v>
      </c>
    </row>
    <row r="1882" spans="1:26" ht="18" customHeight="1" x14ac:dyDescent="0.2">
      <c r="A1882" s="279">
        <f t="shared" si="2322"/>
        <v>44733</v>
      </c>
      <c r="B1882" s="280" t="s">
        <v>192</v>
      </c>
      <c r="C1882" s="48">
        <f t="shared" si="2346"/>
        <v>2682</v>
      </c>
      <c r="D1882" s="84">
        <f t="shared" si="2327"/>
        <v>1728</v>
      </c>
      <c r="E1882" s="45">
        <f t="shared" si="2328"/>
        <v>1883.9999999999827</v>
      </c>
      <c r="F1882" s="45">
        <f t="shared" si="2347"/>
        <v>85</v>
      </c>
      <c r="G1882" s="79">
        <f t="shared" si="2348"/>
        <v>6378.9999999999827</v>
      </c>
      <c r="H1882" s="199"/>
      <c r="I1882" s="199"/>
      <c r="J1882" s="200"/>
      <c r="K1882" s="201"/>
      <c r="L1882" s="276"/>
      <c r="M1882" s="276"/>
      <c r="N1882" s="235">
        <v>68554</v>
      </c>
      <c r="O1882" s="235">
        <v>29236</v>
      </c>
      <c r="P1882" s="235">
        <v>48652</v>
      </c>
      <c r="Q1882" s="235"/>
      <c r="R1882" s="235">
        <v>47296</v>
      </c>
      <c r="S1882" s="236">
        <v>6801.3</v>
      </c>
      <c r="T1882" s="236">
        <v>929.1</v>
      </c>
      <c r="U1882" s="236"/>
      <c r="V1882" s="235">
        <v>101775</v>
      </c>
      <c r="W1882" s="235">
        <v>43657</v>
      </c>
      <c r="X1882" s="235">
        <v>36460</v>
      </c>
      <c r="Y1882" s="235">
        <v>92778</v>
      </c>
      <c r="Z1882" s="235">
        <v>60935</v>
      </c>
    </row>
    <row r="1883" spans="1:26" ht="18" customHeight="1" x14ac:dyDescent="0.2">
      <c r="A1883" s="279">
        <f t="shared" si="2322"/>
        <v>44734</v>
      </c>
      <c r="B1883" s="280" t="s">
        <v>193</v>
      </c>
      <c r="C1883" s="48">
        <f t="shared" si="2346"/>
        <v>2556</v>
      </c>
      <c r="D1883" s="84">
        <f t="shared" si="2327"/>
        <v>1928</v>
      </c>
      <c r="E1883" s="45">
        <f t="shared" si="2328"/>
        <v>1971.9999999999891</v>
      </c>
      <c r="F1883" s="45">
        <f t="shared" si="2347"/>
        <v>85</v>
      </c>
      <c r="G1883" s="79">
        <f t="shared" si="2348"/>
        <v>6540.9999999999891</v>
      </c>
      <c r="H1883" s="199"/>
      <c r="I1883" s="199"/>
      <c r="J1883" s="200"/>
      <c r="K1883" s="201"/>
      <c r="L1883" s="276"/>
      <c r="M1883" s="276"/>
      <c r="N1883" s="235">
        <v>68678</v>
      </c>
      <c r="O1883" s="235">
        <v>29286</v>
      </c>
      <c r="P1883" s="235">
        <v>48744</v>
      </c>
      <c r="Q1883" s="235"/>
      <c r="R1883" s="235">
        <v>47296</v>
      </c>
      <c r="S1883" s="236">
        <v>6824</v>
      </c>
      <c r="T1883" s="236">
        <v>930.8</v>
      </c>
      <c r="U1883" s="236"/>
      <c r="V1883" s="235">
        <v>101997</v>
      </c>
      <c r="W1883" s="235">
        <v>43708</v>
      </c>
      <c r="X1883" s="235">
        <v>36529</v>
      </c>
      <c r="Y1883" s="235">
        <v>92778</v>
      </c>
      <c r="Z1883" s="235">
        <v>61020</v>
      </c>
    </row>
    <row r="1884" spans="1:26" ht="18" customHeight="1" x14ac:dyDescent="0.2">
      <c r="A1884" s="279">
        <f t="shared" si="2322"/>
        <v>44735</v>
      </c>
      <c r="B1884" s="280" t="s">
        <v>194</v>
      </c>
      <c r="C1884" s="48">
        <f t="shared" si="2346"/>
        <v>2641</v>
      </c>
      <c r="D1884" s="84">
        <f t="shared" si="2327"/>
        <v>1984</v>
      </c>
      <c r="E1884" s="45">
        <f t="shared" si="2328"/>
        <v>1784.0000000000146</v>
      </c>
      <c r="F1884" s="45">
        <f t="shared" si="2347"/>
        <v>97</v>
      </c>
      <c r="G1884" s="79">
        <f t="shared" si="2348"/>
        <v>6506.0000000000146</v>
      </c>
      <c r="H1884" s="199"/>
      <c r="I1884" s="199"/>
      <c r="J1884" s="200"/>
      <c r="K1884" s="201"/>
      <c r="L1884" s="276"/>
      <c r="M1884" s="276"/>
      <c r="N1884" s="235">
        <v>68820</v>
      </c>
      <c r="O1884" s="235">
        <v>29342</v>
      </c>
      <c r="P1884" s="235">
        <v>48843</v>
      </c>
      <c r="Q1884" s="235"/>
      <c r="R1884" s="235">
        <v>47296</v>
      </c>
      <c r="S1884" s="236">
        <v>6847.2</v>
      </c>
      <c r="T1884" s="236">
        <v>933.7</v>
      </c>
      <c r="U1884" s="236"/>
      <c r="V1884" s="235">
        <v>102213</v>
      </c>
      <c r="W1884" s="235">
        <v>43756</v>
      </c>
      <c r="X1884" s="235">
        <v>36596</v>
      </c>
      <c r="Y1884" s="235">
        <v>92778</v>
      </c>
      <c r="Z1884" s="235">
        <v>61105</v>
      </c>
    </row>
    <row r="1885" spans="1:26" ht="18" customHeight="1" x14ac:dyDescent="0.2">
      <c r="A1885" s="279">
        <f t="shared" si="2322"/>
        <v>44736</v>
      </c>
      <c r="B1885" s="278" t="s">
        <v>189</v>
      </c>
      <c r="C1885" s="48">
        <f t="shared" si="2346"/>
        <v>0</v>
      </c>
      <c r="D1885" s="84">
        <f t="shared" si="2327"/>
        <v>0</v>
      </c>
      <c r="E1885" s="45">
        <f t="shared" si="2328"/>
        <v>0</v>
      </c>
      <c r="F1885" s="45">
        <f t="shared" si="2347"/>
        <v>0</v>
      </c>
      <c r="G1885" s="79">
        <f t="shared" si="2348"/>
        <v>0</v>
      </c>
      <c r="H1885" s="199"/>
      <c r="I1885" s="199"/>
      <c r="J1885" s="200"/>
      <c r="K1885" s="201"/>
      <c r="L1885" s="276"/>
      <c r="M1885" s="276"/>
      <c r="N1885" s="235">
        <v>68966</v>
      </c>
      <c r="O1885" s="235">
        <v>29389</v>
      </c>
      <c r="P1885" s="235">
        <v>48945</v>
      </c>
      <c r="Q1885" s="235"/>
      <c r="R1885" s="235">
        <v>47296</v>
      </c>
      <c r="S1885" s="236">
        <v>6869</v>
      </c>
      <c r="T1885" s="236">
        <v>934.7</v>
      </c>
      <c r="U1885" s="236"/>
      <c r="V1885" s="235">
        <v>102434</v>
      </c>
      <c r="W1885" s="235">
        <v>43805</v>
      </c>
      <c r="X1885" s="235">
        <v>36667</v>
      </c>
      <c r="Y1885" s="235">
        <v>92778</v>
      </c>
      <c r="Z1885" s="235">
        <v>61202</v>
      </c>
    </row>
    <row r="1886" spans="1:26" ht="18" customHeight="1" x14ac:dyDescent="0.2">
      <c r="A1886" s="279">
        <f t="shared" si="2322"/>
        <v>44737</v>
      </c>
      <c r="B1886" s="279" t="s">
        <v>195</v>
      </c>
      <c r="C1886" s="48">
        <f t="shared" si="2346"/>
        <v>0</v>
      </c>
      <c r="D1886" s="84">
        <f t="shared" si="2327"/>
        <v>0</v>
      </c>
      <c r="E1886" s="45">
        <f t="shared" si="2328"/>
        <v>0</v>
      </c>
      <c r="F1886" s="45">
        <f t="shared" si="2347"/>
        <v>0</v>
      </c>
      <c r="G1886" s="79">
        <f t="shared" si="2348"/>
        <v>0</v>
      </c>
      <c r="H1886" s="199"/>
      <c r="I1886" s="199"/>
      <c r="J1886" s="200"/>
      <c r="K1886" s="201"/>
      <c r="L1886" s="276"/>
      <c r="M1886" s="276"/>
      <c r="N1886" s="153">
        <v>68966</v>
      </c>
      <c r="O1886" s="153">
        <v>29389</v>
      </c>
      <c r="P1886" s="153">
        <v>48945</v>
      </c>
      <c r="Q1886" s="153"/>
      <c r="R1886" s="153">
        <v>47296</v>
      </c>
      <c r="S1886" s="154">
        <v>6869</v>
      </c>
      <c r="T1886" s="154">
        <v>934.7</v>
      </c>
      <c r="U1886" s="154"/>
      <c r="V1886" s="153">
        <v>102434</v>
      </c>
      <c r="W1886" s="153">
        <v>43805</v>
      </c>
      <c r="X1886" s="153">
        <v>36667</v>
      </c>
      <c r="Y1886" s="153">
        <v>92778</v>
      </c>
      <c r="Z1886" s="153">
        <v>61202</v>
      </c>
    </row>
    <row r="1887" spans="1:26" ht="18" customHeight="1" x14ac:dyDescent="0.2">
      <c r="A1887" s="279">
        <f t="shared" si="2322"/>
        <v>44738</v>
      </c>
      <c r="B1887" s="278" t="s">
        <v>190</v>
      </c>
      <c r="C1887" s="48">
        <f t="shared" si="2346"/>
        <v>3594</v>
      </c>
      <c r="D1887" s="84">
        <f t="shared" si="2327"/>
        <v>2688</v>
      </c>
      <c r="E1887" s="45">
        <f t="shared" si="2328"/>
        <v>2328.0000000000291</v>
      </c>
      <c r="F1887" s="45">
        <f t="shared" si="2347"/>
        <v>363</v>
      </c>
      <c r="G1887" s="79">
        <f t="shared" si="2348"/>
        <v>8973.0000000000291</v>
      </c>
      <c r="H1887" s="199"/>
      <c r="I1887" s="199"/>
      <c r="J1887" s="200"/>
      <c r="K1887" s="201"/>
      <c r="L1887" s="276"/>
      <c r="M1887" s="276"/>
      <c r="N1887" s="153">
        <v>68966</v>
      </c>
      <c r="O1887" s="153">
        <v>29389</v>
      </c>
      <c r="P1887" s="153">
        <v>48945</v>
      </c>
      <c r="Q1887" s="153"/>
      <c r="R1887" s="153">
        <v>47296</v>
      </c>
      <c r="S1887" s="154">
        <v>6869</v>
      </c>
      <c r="T1887" s="154">
        <v>934.7</v>
      </c>
      <c r="U1887" s="154"/>
      <c r="V1887" s="153">
        <v>102434</v>
      </c>
      <c r="W1887" s="153">
        <v>43805</v>
      </c>
      <c r="X1887" s="153">
        <v>36667</v>
      </c>
      <c r="Y1887" s="153">
        <v>92778</v>
      </c>
      <c r="Z1887" s="153">
        <v>61202</v>
      </c>
    </row>
    <row r="1888" spans="1:26" ht="18" customHeight="1" x14ac:dyDescent="0.2">
      <c r="A1888" s="279">
        <f t="shared" si="2322"/>
        <v>44739</v>
      </c>
      <c r="B1888" s="280" t="s">
        <v>191</v>
      </c>
      <c r="C1888" s="48">
        <f t="shared" ref="C1888:C1894" si="2349">(V1889-V1888)*1+(W1889-W1888)*32+(X1889-X1888)*12+(Y1889-Y1888)*6</f>
        <v>2238</v>
      </c>
      <c r="D1888" s="84">
        <f t="shared" si="2327"/>
        <v>1696</v>
      </c>
      <c r="E1888" s="45">
        <f t="shared" si="2328"/>
        <v>1419.9999999999682</v>
      </c>
      <c r="F1888" s="45">
        <f t="shared" ref="F1888:F1894" si="2350">(Z1889-Z1888)*1</f>
        <v>32</v>
      </c>
      <c r="G1888" s="79">
        <f t="shared" ref="G1888:G1894" si="2351">C1888+D1888+F1888+E1888</f>
        <v>5385.9999999999682</v>
      </c>
      <c r="H1888" s="199"/>
      <c r="I1888" s="199"/>
      <c r="J1888" s="200"/>
      <c r="K1888" s="201"/>
      <c r="L1888" s="276"/>
      <c r="M1888" s="276"/>
      <c r="N1888" s="235">
        <v>69248</v>
      </c>
      <c r="O1888" s="235">
        <v>29520</v>
      </c>
      <c r="P1888" s="235">
        <v>48999</v>
      </c>
      <c r="Q1888" s="235"/>
      <c r="R1888" s="235">
        <v>47296</v>
      </c>
      <c r="S1888" s="236">
        <v>6897.1</v>
      </c>
      <c r="T1888" s="236">
        <v>936.7</v>
      </c>
      <c r="U1888" s="236"/>
      <c r="V1888" s="235">
        <v>102916</v>
      </c>
      <c r="W1888" s="235">
        <v>43873</v>
      </c>
      <c r="X1888" s="235">
        <v>36745</v>
      </c>
      <c r="Y1888" s="235">
        <v>92778</v>
      </c>
      <c r="Z1888" s="235">
        <v>61565</v>
      </c>
    </row>
    <row r="1889" spans="1:26" ht="18" customHeight="1" x14ac:dyDescent="0.2">
      <c r="A1889" s="279">
        <f t="shared" si="2322"/>
        <v>44740</v>
      </c>
      <c r="B1889" s="280" t="s">
        <v>192</v>
      </c>
      <c r="C1889" s="48">
        <f t="shared" si="2349"/>
        <v>2292</v>
      </c>
      <c r="D1889" s="84">
        <f t="shared" si="2327"/>
        <v>1664</v>
      </c>
      <c r="E1889" s="45">
        <f t="shared" si="2328"/>
        <v>780</v>
      </c>
      <c r="F1889" s="45">
        <f t="shared" si="2350"/>
        <v>106</v>
      </c>
      <c r="G1889" s="79">
        <f t="shared" si="2351"/>
        <v>4842</v>
      </c>
      <c r="H1889" s="199"/>
      <c r="I1889" s="199"/>
      <c r="J1889" s="200"/>
      <c r="K1889" s="201"/>
      <c r="L1889" s="276"/>
      <c r="M1889" s="276"/>
      <c r="N1889" s="235">
        <v>69370</v>
      </c>
      <c r="O1889" s="235">
        <v>29565</v>
      </c>
      <c r="P1889" s="235">
        <v>49089</v>
      </c>
      <c r="Q1889" s="235"/>
      <c r="R1889" s="235">
        <v>47296</v>
      </c>
      <c r="S1889" s="236">
        <v>6914.5</v>
      </c>
      <c r="T1889" s="236">
        <v>937.4</v>
      </c>
      <c r="U1889" s="236"/>
      <c r="V1889" s="235">
        <v>103146</v>
      </c>
      <c r="W1889" s="235">
        <v>43914</v>
      </c>
      <c r="X1889" s="235">
        <v>36803</v>
      </c>
      <c r="Y1889" s="235">
        <v>92778</v>
      </c>
      <c r="Z1889" s="235">
        <v>61597</v>
      </c>
    </row>
    <row r="1890" spans="1:26" ht="18" customHeight="1" x14ac:dyDescent="0.2">
      <c r="A1890" s="279">
        <f t="shared" si="2322"/>
        <v>44741</v>
      </c>
      <c r="B1890" s="280" t="s">
        <v>193</v>
      </c>
      <c r="C1890" s="48">
        <f t="shared" si="2349"/>
        <v>2644</v>
      </c>
      <c r="D1890" s="84">
        <f t="shared" si="2327"/>
        <v>1696</v>
      </c>
      <c r="E1890" s="45">
        <f t="shared" si="2328"/>
        <v>1788.0000000000155</v>
      </c>
      <c r="F1890" s="45">
        <f t="shared" si="2350"/>
        <v>105</v>
      </c>
      <c r="G1890" s="79">
        <f t="shared" si="2351"/>
        <v>6233.0000000000155</v>
      </c>
      <c r="H1890" s="199"/>
      <c r="I1890" s="199"/>
      <c r="J1890" s="200"/>
      <c r="K1890" s="201"/>
      <c r="L1890" s="276"/>
      <c r="M1890" s="276"/>
      <c r="N1890" s="235">
        <v>69484</v>
      </c>
      <c r="O1890" s="235">
        <v>29607</v>
      </c>
      <c r="P1890" s="235">
        <v>49183</v>
      </c>
      <c r="Q1890" s="235"/>
      <c r="R1890" s="235">
        <v>47296</v>
      </c>
      <c r="S1890" s="236">
        <v>6924</v>
      </c>
      <c r="T1890" s="236">
        <v>937.9</v>
      </c>
      <c r="U1890" s="236"/>
      <c r="V1890" s="235">
        <v>103386</v>
      </c>
      <c r="W1890" s="235">
        <v>43956</v>
      </c>
      <c r="X1890" s="235">
        <v>36862</v>
      </c>
      <c r="Y1890" s="235">
        <v>92778</v>
      </c>
      <c r="Z1890" s="235">
        <v>61703</v>
      </c>
    </row>
    <row r="1891" spans="1:26" ht="18" customHeight="1" x14ac:dyDescent="0.2">
      <c r="A1891" s="279">
        <f t="shared" si="2322"/>
        <v>44742</v>
      </c>
      <c r="B1891" s="280" t="s">
        <v>194</v>
      </c>
      <c r="C1891" s="48">
        <f t="shared" si="2349"/>
        <v>2657</v>
      </c>
      <c r="D1891" s="84">
        <f t="shared" si="2327"/>
        <v>1696</v>
      </c>
      <c r="E1891" s="45">
        <f t="shared" si="2328"/>
        <v>2120</v>
      </c>
      <c r="F1891" s="45">
        <f t="shared" si="2350"/>
        <v>105</v>
      </c>
      <c r="G1891" s="79">
        <f t="shared" si="2351"/>
        <v>6578</v>
      </c>
      <c r="H1891" s="199"/>
      <c r="I1891" s="199"/>
      <c r="J1891" s="200"/>
      <c r="K1891" s="201"/>
      <c r="L1891" s="276"/>
      <c r="M1891" s="276"/>
      <c r="N1891" s="235">
        <v>69594</v>
      </c>
      <c r="O1891" s="235">
        <v>29649</v>
      </c>
      <c r="P1891" s="235">
        <v>49285</v>
      </c>
      <c r="Q1891" s="235"/>
      <c r="R1891" s="235">
        <v>47296</v>
      </c>
      <c r="S1891" s="236">
        <v>6944.8</v>
      </c>
      <c r="T1891" s="236">
        <v>941</v>
      </c>
      <c r="U1891" s="236"/>
      <c r="V1891" s="235">
        <v>103622</v>
      </c>
      <c r="W1891" s="235">
        <v>44005</v>
      </c>
      <c r="X1891" s="235">
        <v>36932</v>
      </c>
      <c r="Y1891" s="235">
        <v>92778</v>
      </c>
      <c r="Z1891" s="235">
        <v>61808</v>
      </c>
    </row>
    <row r="1892" spans="1:26" ht="18" customHeight="1" x14ac:dyDescent="0.2">
      <c r="A1892" s="279">
        <f t="shared" si="2322"/>
        <v>44743</v>
      </c>
      <c r="B1892" s="278" t="s">
        <v>189</v>
      </c>
      <c r="C1892" s="48">
        <f t="shared" si="2349"/>
        <v>0</v>
      </c>
      <c r="D1892" s="84">
        <f t="shared" si="2327"/>
        <v>0</v>
      </c>
      <c r="E1892" s="45">
        <f t="shared" si="2328"/>
        <v>0</v>
      </c>
      <c r="F1892" s="45">
        <f t="shared" si="2350"/>
        <v>0</v>
      </c>
      <c r="G1892" s="79">
        <f t="shared" si="2351"/>
        <v>0</v>
      </c>
      <c r="H1892" s="199"/>
      <c r="I1892" s="199"/>
      <c r="J1892" s="200"/>
      <c r="K1892" s="201"/>
      <c r="L1892" s="276"/>
      <c r="M1892" s="276"/>
      <c r="N1892" s="235">
        <v>69702</v>
      </c>
      <c r="O1892" s="235">
        <v>29689</v>
      </c>
      <c r="P1892" s="235">
        <v>49389</v>
      </c>
      <c r="Q1892" s="235"/>
      <c r="R1892" s="235">
        <v>47296</v>
      </c>
      <c r="S1892" s="236">
        <v>6969.8</v>
      </c>
      <c r="T1892" s="236">
        <v>944</v>
      </c>
      <c r="U1892" s="236"/>
      <c r="V1892" s="235">
        <v>103823</v>
      </c>
      <c r="W1892" s="235">
        <v>44054</v>
      </c>
      <c r="X1892" s="235">
        <v>37006</v>
      </c>
      <c r="Y1892" s="235">
        <v>92778</v>
      </c>
      <c r="Z1892" s="235">
        <v>61913</v>
      </c>
    </row>
    <row r="1893" spans="1:26" ht="18" customHeight="1" x14ac:dyDescent="0.2">
      <c r="A1893" s="279">
        <f t="shared" si="2322"/>
        <v>44744</v>
      </c>
      <c r="B1893" s="279" t="s">
        <v>195</v>
      </c>
      <c r="C1893" s="48">
        <f t="shared" si="2349"/>
        <v>0</v>
      </c>
      <c r="D1893" s="84">
        <f t="shared" si="2327"/>
        <v>0</v>
      </c>
      <c r="E1893" s="45">
        <f t="shared" si="2328"/>
        <v>0</v>
      </c>
      <c r="F1893" s="45">
        <f t="shared" si="2350"/>
        <v>0</v>
      </c>
      <c r="G1893" s="79">
        <f t="shared" si="2351"/>
        <v>0</v>
      </c>
      <c r="H1893" s="199"/>
      <c r="I1893" s="199"/>
      <c r="J1893" s="200"/>
      <c r="K1893" s="201"/>
      <c r="L1893" s="276"/>
      <c r="M1893" s="276"/>
      <c r="N1893" s="153">
        <v>69702</v>
      </c>
      <c r="O1893" s="153">
        <v>29689</v>
      </c>
      <c r="P1893" s="153">
        <v>49389</v>
      </c>
      <c r="Q1893" s="153"/>
      <c r="R1893" s="153">
        <v>47296</v>
      </c>
      <c r="S1893" s="154">
        <v>6969.8</v>
      </c>
      <c r="T1893" s="154">
        <v>944</v>
      </c>
      <c r="U1893" s="154"/>
      <c r="V1893" s="153">
        <v>103823</v>
      </c>
      <c r="W1893" s="153">
        <v>44054</v>
      </c>
      <c r="X1893" s="153">
        <v>37006</v>
      </c>
      <c r="Y1893" s="153">
        <v>92778</v>
      </c>
      <c r="Z1893" s="153">
        <v>61913</v>
      </c>
    </row>
    <row r="1894" spans="1:26" ht="18" customHeight="1" x14ac:dyDescent="0.2">
      <c r="A1894" s="279">
        <f t="shared" si="2322"/>
        <v>44745</v>
      </c>
      <c r="B1894" s="278" t="s">
        <v>190</v>
      </c>
      <c r="C1894" s="48">
        <f t="shared" si="2349"/>
        <v>3491</v>
      </c>
      <c r="D1894" s="84">
        <f t="shared" si="2327"/>
        <v>1520</v>
      </c>
      <c r="E1894" s="45">
        <f t="shared" si="2328"/>
        <v>4411.9999999999709</v>
      </c>
      <c r="F1894" s="45">
        <f t="shared" si="2350"/>
        <v>345</v>
      </c>
      <c r="G1894" s="79">
        <f t="shared" si="2351"/>
        <v>9767.9999999999709</v>
      </c>
      <c r="H1894" s="199"/>
      <c r="I1894" s="199"/>
      <c r="J1894" s="200"/>
      <c r="K1894" s="201"/>
      <c r="L1894" s="276"/>
      <c r="M1894" s="276"/>
      <c r="N1894" s="153">
        <v>69702</v>
      </c>
      <c r="O1894" s="153">
        <v>29689</v>
      </c>
      <c r="P1894" s="153">
        <v>49389</v>
      </c>
      <c r="Q1894" s="153"/>
      <c r="R1894" s="153">
        <v>47296</v>
      </c>
      <c r="S1894" s="154">
        <v>6969.8</v>
      </c>
      <c r="T1894" s="154">
        <v>944</v>
      </c>
      <c r="U1894" s="154"/>
      <c r="V1894" s="153">
        <v>103823</v>
      </c>
      <c r="W1894" s="153">
        <v>44054</v>
      </c>
      <c r="X1894" s="153">
        <v>37006</v>
      </c>
      <c r="Y1894" s="153">
        <v>92778</v>
      </c>
      <c r="Z1894" s="153">
        <v>61913</v>
      </c>
    </row>
    <row r="1895" spans="1:26" ht="18" customHeight="1" x14ac:dyDescent="0.2">
      <c r="A1895" s="279">
        <f t="shared" si="2322"/>
        <v>44746</v>
      </c>
      <c r="B1895" s="280" t="s">
        <v>191</v>
      </c>
      <c r="C1895" s="48">
        <f t="shared" ref="C1895:C1908" si="2352">(V1896-V1895)*1+(W1896-W1895)*32+(X1896-X1895)*12+(Y1896-Y1895)*6</f>
        <v>2303</v>
      </c>
      <c r="D1895" s="84">
        <f t="shared" si="2327"/>
        <v>1472</v>
      </c>
      <c r="E1895" s="45">
        <f t="shared" si="2328"/>
        <v>1927.9999999999836</v>
      </c>
      <c r="F1895" s="45">
        <f t="shared" ref="F1895:F1908" si="2353">(Z1896-Z1895)*1</f>
        <v>106</v>
      </c>
      <c r="G1895" s="79">
        <f t="shared" ref="G1895:G1908" si="2354">C1895+D1895+F1895+E1895</f>
        <v>5808.9999999999836</v>
      </c>
      <c r="H1895" s="199"/>
      <c r="I1895" s="199"/>
      <c r="J1895" s="200"/>
      <c r="K1895" s="201"/>
      <c r="L1895" s="276"/>
      <c r="M1895" s="276"/>
      <c r="N1895" s="235">
        <v>69795</v>
      </c>
      <c r="O1895" s="235">
        <v>29728</v>
      </c>
      <c r="P1895" s="235">
        <v>49486</v>
      </c>
      <c r="Q1895" s="235"/>
      <c r="R1895" s="235">
        <v>47296</v>
      </c>
      <c r="S1895" s="236">
        <v>7020.7</v>
      </c>
      <c r="T1895" s="236">
        <v>952.5</v>
      </c>
      <c r="U1895" s="236"/>
      <c r="V1895" s="235">
        <v>104310</v>
      </c>
      <c r="W1895" s="235">
        <v>44119</v>
      </c>
      <c r="X1895" s="235">
        <v>37083</v>
      </c>
      <c r="Y1895" s="235">
        <v>92778</v>
      </c>
      <c r="Z1895" s="235">
        <v>62258</v>
      </c>
    </row>
    <row r="1896" spans="1:26" ht="18" customHeight="1" x14ac:dyDescent="0.2">
      <c r="A1896" s="279">
        <f t="shared" ref="A1896:A1959" si="2355">A1895+1</f>
        <v>44747</v>
      </c>
      <c r="B1896" s="280" t="s">
        <v>192</v>
      </c>
      <c r="C1896" s="48">
        <f t="shared" si="2352"/>
        <v>2676</v>
      </c>
      <c r="D1896" s="84">
        <f t="shared" si="2327"/>
        <v>1416</v>
      </c>
      <c r="E1896" s="45">
        <f t="shared" si="2328"/>
        <v>1880.0000000000182</v>
      </c>
      <c r="F1896" s="45">
        <f t="shared" si="2353"/>
        <v>69</v>
      </c>
      <c r="G1896" s="79">
        <f t="shared" si="2354"/>
        <v>6041.0000000000182</v>
      </c>
      <c r="H1896" s="199"/>
      <c r="I1896" s="199"/>
      <c r="J1896" s="200"/>
      <c r="K1896" s="201"/>
      <c r="L1896" s="276"/>
      <c r="M1896" s="276"/>
      <c r="N1896" s="235">
        <v>69933</v>
      </c>
      <c r="O1896" s="235">
        <v>29783</v>
      </c>
      <c r="P1896" s="235">
        <v>49532</v>
      </c>
      <c r="Q1896" s="235"/>
      <c r="R1896" s="235">
        <v>47296</v>
      </c>
      <c r="S1896" s="236">
        <v>7043.9</v>
      </c>
      <c r="T1896" s="236">
        <v>954.3</v>
      </c>
      <c r="U1896" s="236"/>
      <c r="V1896" s="235">
        <v>104537</v>
      </c>
      <c r="W1896" s="235">
        <v>44167</v>
      </c>
      <c r="X1896" s="235">
        <v>37128</v>
      </c>
      <c r="Y1896" s="235">
        <v>92778</v>
      </c>
      <c r="Z1896" s="235">
        <v>62364</v>
      </c>
    </row>
    <row r="1897" spans="1:26" ht="18" customHeight="1" x14ac:dyDescent="0.2">
      <c r="A1897" s="279">
        <f t="shared" si="2355"/>
        <v>44748</v>
      </c>
      <c r="B1897" s="280" t="s">
        <v>193</v>
      </c>
      <c r="C1897" s="48">
        <f t="shared" si="2352"/>
        <v>2546</v>
      </c>
      <c r="D1897" s="84">
        <f t="shared" si="2327"/>
        <v>1232</v>
      </c>
      <c r="E1897" s="45">
        <f t="shared" si="2328"/>
        <v>1956.00000000004</v>
      </c>
      <c r="F1897" s="45">
        <f t="shared" si="2353"/>
        <v>36</v>
      </c>
      <c r="G1897" s="79">
        <f t="shared" si="2354"/>
        <v>5770.00000000004</v>
      </c>
      <c r="H1897" s="199"/>
      <c r="I1897" s="199"/>
      <c r="J1897" s="200"/>
      <c r="K1897" s="201"/>
      <c r="L1897" s="276"/>
      <c r="M1897" s="276"/>
      <c r="N1897" s="235">
        <v>70062</v>
      </c>
      <c r="O1897" s="235">
        <v>29832</v>
      </c>
      <c r="P1897" s="235">
        <v>49580</v>
      </c>
      <c r="Q1897" s="235"/>
      <c r="R1897" s="235">
        <v>47296</v>
      </c>
      <c r="S1897" s="236">
        <v>7066.7</v>
      </c>
      <c r="T1897" s="236">
        <v>955.7</v>
      </c>
      <c r="U1897" s="236"/>
      <c r="V1897" s="235">
        <v>104749</v>
      </c>
      <c r="W1897" s="235">
        <v>44217</v>
      </c>
      <c r="X1897" s="235">
        <v>37200</v>
      </c>
      <c r="Y1897" s="235">
        <v>92778</v>
      </c>
      <c r="Z1897" s="235">
        <v>62433</v>
      </c>
    </row>
    <row r="1898" spans="1:26" ht="18" customHeight="1" x14ac:dyDescent="0.2">
      <c r="A1898" s="279">
        <f t="shared" si="2355"/>
        <v>44749</v>
      </c>
      <c r="B1898" s="280" t="s">
        <v>194</v>
      </c>
      <c r="C1898" s="48">
        <f t="shared" si="2352"/>
        <v>2473</v>
      </c>
      <c r="D1898" s="84">
        <f t="shared" si="2327"/>
        <v>1064</v>
      </c>
      <c r="E1898" s="45">
        <f t="shared" si="2328"/>
        <v>1991.9999999999709</v>
      </c>
      <c r="F1898" s="45">
        <f t="shared" si="2353"/>
        <v>77</v>
      </c>
      <c r="G1898" s="79">
        <f t="shared" si="2354"/>
        <v>5605.9999999999709</v>
      </c>
      <c r="H1898" s="199"/>
      <c r="I1898" s="199"/>
      <c r="J1898" s="200"/>
      <c r="K1898" s="201"/>
      <c r="L1898" s="276"/>
      <c r="M1898" s="276"/>
      <c r="N1898" s="235">
        <v>70179</v>
      </c>
      <c r="O1898" s="235">
        <v>29876</v>
      </c>
      <c r="P1898" s="235">
        <v>49617</v>
      </c>
      <c r="Q1898" s="235"/>
      <c r="R1898" s="235">
        <v>47296</v>
      </c>
      <c r="S1898" s="236">
        <v>7090.6</v>
      </c>
      <c r="T1898" s="236">
        <v>956.8</v>
      </c>
      <c r="U1898" s="236"/>
      <c r="V1898" s="235">
        <v>104967</v>
      </c>
      <c r="W1898" s="235">
        <v>44265</v>
      </c>
      <c r="X1898" s="235">
        <v>37266</v>
      </c>
      <c r="Y1898" s="235">
        <v>92778</v>
      </c>
      <c r="Z1898" s="235">
        <v>62469</v>
      </c>
    </row>
    <row r="1899" spans="1:26" ht="18" customHeight="1" x14ac:dyDescent="0.2">
      <c r="A1899" s="279">
        <f t="shared" si="2355"/>
        <v>44750</v>
      </c>
      <c r="B1899" s="278" t="s">
        <v>189</v>
      </c>
      <c r="C1899" s="48">
        <f t="shared" si="2352"/>
        <v>0</v>
      </c>
      <c r="D1899" s="84">
        <f t="shared" si="2327"/>
        <v>0</v>
      </c>
      <c r="E1899" s="45">
        <f t="shared" si="2328"/>
        <v>0</v>
      </c>
      <c r="F1899" s="45">
        <f t="shared" si="2353"/>
        <v>0</v>
      </c>
      <c r="G1899" s="79">
        <f t="shared" si="2354"/>
        <v>0</v>
      </c>
      <c r="H1899" s="199"/>
      <c r="I1899" s="199"/>
      <c r="J1899" s="200"/>
      <c r="K1899" s="201"/>
      <c r="L1899" s="276"/>
      <c r="M1899" s="276"/>
      <c r="N1899" s="235">
        <v>70280</v>
      </c>
      <c r="O1899" s="235">
        <v>29914</v>
      </c>
      <c r="P1899" s="235">
        <v>49649</v>
      </c>
      <c r="Q1899" s="235"/>
      <c r="R1899" s="235">
        <v>47296</v>
      </c>
      <c r="S1899" s="236">
        <v>7114.5</v>
      </c>
      <c r="T1899" s="236">
        <v>958.8</v>
      </c>
      <c r="U1899" s="236"/>
      <c r="V1899" s="235">
        <v>105196</v>
      </c>
      <c r="W1899" s="235">
        <v>44313</v>
      </c>
      <c r="X1899" s="235">
        <v>37325</v>
      </c>
      <c r="Y1899" s="235">
        <v>92778</v>
      </c>
      <c r="Z1899" s="235">
        <v>62546</v>
      </c>
    </row>
    <row r="1900" spans="1:26" ht="18" customHeight="1" x14ac:dyDescent="0.2">
      <c r="A1900" s="279">
        <f t="shared" si="2355"/>
        <v>44751</v>
      </c>
      <c r="B1900" s="279" t="s">
        <v>195</v>
      </c>
      <c r="C1900" s="48">
        <f t="shared" si="2352"/>
        <v>0</v>
      </c>
      <c r="D1900" s="84">
        <f t="shared" si="2327"/>
        <v>0</v>
      </c>
      <c r="E1900" s="45">
        <f t="shared" si="2328"/>
        <v>0</v>
      </c>
      <c r="F1900" s="45">
        <f t="shared" si="2353"/>
        <v>0</v>
      </c>
      <c r="G1900" s="79">
        <f t="shared" si="2354"/>
        <v>0</v>
      </c>
      <c r="H1900" s="199"/>
      <c r="I1900" s="199"/>
      <c r="J1900" s="200"/>
      <c r="K1900" s="201"/>
      <c r="L1900" s="276"/>
      <c r="M1900" s="276"/>
      <c r="N1900" s="293">
        <v>70280</v>
      </c>
      <c r="O1900" s="293">
        <v>29914</v>
      </c>
      <c r="P1900" s="293">
        <v>49649</v>
      </c>
      <c r="Q1900" s="293"/>
      <c r="R1900" s="293">
        <v>47296</v>
      </c>
      <c r="S1900" s="294">
        <v>7114.5</v>
      </c>
      <c r="T1900" s="294">
        <v>958.8</v>
      </c>
      <c r="U1900" s="294"/>
      <c r="V1900" s="293">
        <v>105196</v>
      </c>
      <c r="W1900" s="293">
        <v>44313</v>
      </c>
      <c r="X1900" s="293">
        <v>37325</v>
      </c>
      <c r="Y1900" s="293">
        <v>92778</v>
      </c>
      <c r="Z1900" s="293">
        <v>62546</v>
      </c>
    </row>
    <row r="1901" spans="1:26" ht="18" customHeight="1" x14ac:dyDescent="0.2">
      <c r="A1901" s="279">
        <f t="shared" si="2355"/>
        <v>44752</v>
      </c>
      <c r="B1901" s="278" t="s">
        <v>190</v>
      </c>
      <c r="C1901" s="48">
        <f t="shared" si="2352"/>
        <v>0</v>
      </c>
      <c r="D1901" s="84">
        <f t="shared" si="2327"/>
        <v>0</v>
      </c>
      <c r="E1901" s="45">
        <f t="shared" si="2328"/>
        <v>0</v>
      </c>
      <c r="F1901" s="45">
        <f t="shared" si="2353"/>
        <v>0</v>
      </c>
      <c r="G1901" s="79">
        <f t="shared" si="2354"/>
        <v>0</v>
      </c>
      <c r="H1901" s="199"/>
      <c r="I1901" s="199"/>
      <c r="J1901" s="200"/>
      <c r="K1901" s="201"/>
      <c r="L1901" s="276"/>
      <c r="M1901" s="276"/>
      <c r="N1901" s="293">
        <v>70280</v>
      </c>
      <c r="O1901" s="293">
        <v>29914</v>
      </c>
      <c r="P1901" s="293">
        <v>49649</v>
      </c>
      <c r="Q1901" s="293"/>
      <c r="R1901" s="293">
        <v>47296</v>
      </c>
      <c r="S1901" s="294">
        <v>7114.5</v>
      </c>
      <c r="T1901" s="294">
        <v>958.8</v>
      </c>
      <c r="U1901" s="294"/>
      <c r="V1901" s="293">
        <v>105196</v>
      </c>
      <c r="W1901" s="293">
        <v>44313</v>
      </c>
      <c r="X1901" s="293">
        <v>37325</v>
      </c>
      <c r="Y1901" s="293">
        <v>92778</v>
      </c>
      <c r="Z1901" s="293">
        <v>62546</v>
      </c>
    </row>
    <row r="1902" spans="1:26" ht="18" customHeight="1" x14ac:dyDescent="0.2">
      <c r="A1902" s="279">
        <f t="shared" si="2355"/>
        <v>44753</v>
      </c>
      <c r="B1902" s="280" t="s">
        <v>191</v>
      </c>
      <c r="C1902" s="48">
        <f t="shared" si="2352"/>
        <v>5802</v>
      </c>
      <c r="D1902" s="84">
        <f t="shared" si="2327"/>
        <v>2024</v>
      </c>
      <c r="E1902" s="45">
        <f t="shared" si="2328"/>
        <v>4524.0000000000146</v>
      </c>
      <c r="F1902" s="45">
        <f t="shared" si="2353"/>
        <v>486</v>
      </c>
      <c r="G1902" s="79">
        <f t="shared" si="2354"/>
        <v>12836.000000000015</v>
      </c>
      <c r="H1902" s="199"/>
      <c r="I1902" s="199"/>
      <c r="J1902" s="200"/>
      <c r="K1902" s="201"/>
      <c r="L1902" s="276"/>
      <c r="M1902" s="276"/>
      <c r="N1902" s="293">
        <v>70280</v>
      </c>
      <c r="O1902" s="293">
        <v>29914</v>
      </c>
      <c r="P1902" s="293">
        <v>49649</v>
      </c>
      <c r="Q1902" s="293"/>
      <c r="R1902" s="293">
        <v>47296</v>
      </c>
      <c r="S1902" s="294">
        <v>7114.5</v>
      </c>
      <c r="T1902" s="294">
        <v>958.8</v>
      </c>
      <c r="U1902" s="294"/>
      <c r="V1902" s="293">
        <v>105196</v>
      </c>
      <c r="W1902" s="293">
        <v>44313</v>
      </c>
      <c r="X1902" s="293">
        <v>37325</v>
      </c>
      <c r="Y1902" s="293">
        <v>92778</v>
      </c>
      <c r="Z1902" s="293">
        <v>62546</v>
      </c>
    </row>
    <row r="1903" spans="1:26" ht="18" customHeight="1" x14ac:dyDescent="0.2">
      <c r="A1903" s="279">
        <f t="shared" si="2355"/>
        <v>44754</v>
      </c>
      <c r="B1903" s="280" t="s">
        <v>192</v>
      </c>
      <c r="C1903" s="48">
        <f t="shared" si="2352"/>
        <v>2615</v>
      </c>
      <c r="D1903" s="84">
        <f t="shared" ref="D1903:D1966" si="2356">(N1904-N1903)*8+(P1904-P1903)*8+(R1904-R1903)*1</f>
        <v>1064</v>
      </c>
      <c r="E1903" s="45">
        <f t="shared" ref="E1903:E1966" si="2357">(S1904-S1903)*80+(T1904-T1903)*40</f>
        <v>2036.0000000000173</v>
      </c>
      <c r="F1903" s="45">
        <f t="shared" si="2353"/>
        <v>83</v>
      </c>
      <c r="G1903" s="79">
        <f t="shared" si="2354"/>
        <v>5798.0000000000173</v>
      </c>
      <c r="H1903" s="199"/>
      <c r="I1903" s="199"/>
      <c r="J1903" s="200"/>
      <c r="K1903" s="201"/>
      <c r="L1903" s="276"/>
      <c r="M1903" s="276"/>
      <c r="N1903" s="235">
        <v>70456</v>
      </c>
      <c r="O1903" s="235">
        <v>29983</v>
      </c>
      <c r="P1903" s="235">
        <v>49726</v>
      </c>
      <c r="Q1903" s="235"/>
      <c r="R1903" s="235">
        <v>47296</v>
      </c>
      <c r="S1903" s="236">
        <v>7166.8</v>
      </c>
      <c r="T1903" s="236">
        <v>967.3</v>
      </c>
      <c r="U1903" s="236"/>
      <c r="V1903" s="235">
        <v>105946</v>
      </c>
      <c r="W1903" s="235">
        <v>44424</v>
      </c>
      <c r="X1903" s="235">
        <v>37450</v>
      </c>
      <c r="Y1903" s="235">
        <v>92778</v>
      </c>
      <c r="Z1903" s="235">
        <v>63032</v>
      </c>
    </row>
    <row r="1904" spans="1:26" ht="18" customHeight="1" x14ac:dyDescent="0.2">
      <c r="A1904" s="279">
        <f t="shared" si="2355"/>
        <v>44755</v>
      </c>
      <c r="B1904" s="280" t="s">
        <v>193</v>
      </c>
      <c r="C1904" s="48">
        <f t="shared" si="2352"/>
        <v>2481</v>
      </c>
      <c r="D1904" s="84">
        <f t="shared" si="2356"/>
        <v>1192</v>
      </c>
      <c r="E1904" s="45">
        <f t="shared" si="2357"/>
        <v>1987.9999999999973</v>
      </c>
      <c r="F1904" s="45">
        <f t="shared" si="2353"/>
        <v>162</v>
      </c>
      <c r="G1904" s="79">
        <f t="shared" si="2354"/>
        <v>5822.9999999999973</v>
      </c>
      <c r="H1904" s="199"/>
      <c r="I1904" s="199"/>
      <c r="J1904" s="200"/>
      <c r="K1904" s="201"/>
      <c r="L1904" s="276"/>
      <c r="M1904" s="276"/>
      <c r="N1904" s="235">
        <v>70554</v>
      </c>
      <c r="O1904" s="235">
        <v>30026</v>
      </c>
      <c r="P1904" s="235">
        <v>49761</v>
      </c>
      <c r="Q1904" s="235"/>
      <c r="R1904" s="235">
        <v>47296</v>
      </c>
      <c r="S1904" s="236">
        <v>7190.6</v>
      </c>
      <c r="T1904" s="236">
        <v>970.6</v>
      </c>
      <c r="U1904" s="236"/>
      <c r="V1904" s="235">
        <v>106193</v>
      </c>
      <c r="W1904" s="235">
        <v>44474</v>
      </c>
      <c r="X1904" s="235">
        <v>37514</v>
      </c>
      <c r="Y1904" s="235">
        <v>92778</v>
      </c>
      <c r="Z1904" s="235">
        <v>63115</v>
      </c>
    </row>
    <row r="1905" spans="1:26" ht="18" customHeight="1" x14ac:dyDescent="0.2">
      <c r="A1905" s="279">
        <f t="shared" si="2355"/>
        <v>44756</v>
      </c>
      <c r="B1905" s="280" t="s">
        <v>194</v>
      </c>
      <c r="C1905" s="48">
        <f t="shared" si="2352"/>
        <v>2512</v>
      </c>
      <c r="D1905" s="84">
        <f t="shared" si="2356"/>
        <v>1144</v>
      </c>
      <c r="E1905" s="45">
        <f t="shared" si="2357"/>
        <v>2155.9999999999445</v>
      </c>
      <c r="F1905" s="45">
        <f t="shared" si="2353"/>
        <v>133</v>
      </c>
      <c r="G1905" s="79">
        <f t="shared" si="2354"/>
        <v>5944.9999999999445</v>
      </c>
      <c r="H1905" s="199"/>
      <c r="I1905" s="199"/>
      <c r="J1905" s="200"/>
      <c r="K1905" s="201"/>
      <c r="L1905" s="276"/>
      <c r="M1905" s="276"/>
      <c r="N1905" s="235">
        <v>70671</v>
      </c>
      <c r="O1905" s="235">
        <v>30069</v>
      </c>
      <c r="P1905" s="235">
        <v>49793</v>
      </c>
      <c r="Q1905" s="235"/>
      <c r="R1905" s="235">
        <v>47296</v>
      </c>
      <c r="S1905" s="236">
        <v>7214.1</v>
      </c>
      <c r="T1905" s="236">
        <v>973.3</v>
      </c>
      <c r="U1905" s="236"/>
      <c r="V1905" s="235">
        <v>106422</v>
      </c>
      <c r="W1905" s="235">
        <v>44523</v>
      </c>
      <c r="X1905" s="235">
        <v>37571</v>
      </c>
      <c r="Y1905" s="235">
        <v>92778</v>
      </c>
      <c r="Z1905" s="235">
        <v>63277</v>
      </c>
    </row>
    <row r="1906" spans="1:26" ht="18" customHeight="1" x14ac:dyDescent="0.2">
      <c r="A1906" s="279">
        <f t="shared" si="2355"/>
        <v>44757</v>
      </c>
      <c r="B1906" s="278" t="s">
        <v>189</v>
      </c>
      <c r="C1906" s="48">
        <f t="shared" si="2352"/>
        <v>0</v>
      </c>
      <c r="D1906" s="84">
        <f t="shared" si="2356"/>
        <v>0</v>
      </c>
      <c r="E1906" s="45">
        <f t="shared" si="2357"/>
        <v>0</v>
      </c>
      <c r="F1906" s="45">
        <f t="shared" si="2353"/>
        <v>0</v>
      </c>
      <c r="G1906" s="79">
        <f t="shared" si="2354"/>
        <v>0</v>
      </c>
      <c r="H1906" s="199"/>
      <c r="I1906" s="199"/>
      <c r="J1906" s="200"/>
      <c r="K1906" s="201"/>
      <c r="L1906" s="276"/>
      <c r="M1906" s="276"/>
      <c r="N1906" s="235">
        <v>70777</v>
      </c>
      <c r="O1906" s="235">
        <v>30108</v>
      </c>
      <c r="P1906" s="235">
        <v>49830</v>
      </c>
      <c r="Q1906" s="235"/>
      <c r="R1906" s="235">
        <v>47296</v>
      </c>
      <c r="S1906" s="236">
        <v>7238.9</v>
      </c>
      <c r="T1906" s="236">
        <v>977.6</v>
      </c>
      <c r="U1906" s="236"/>
      <c r="V1906" s="235">
        <v>106654</v>
      </c>
      <c r="W1906" s="235">
        <v>44571</v>
      </c>
      <c r="X1906" s="235">
        <v>37633</v>
      </c>
      <c r="Y1906" s="235">
        <v>92778</v>
      </c>
      <c r="Z1906" s="235">
        <v>63410</v>
      </c>
    </row>
    <row r="1907" spans="1:26" ht="18" customHeight="1" x14ac:dyDescent="0.2">
      <c r="A1907" s="279">
        <f t="shared" si="2355"/>
        <v>44758</v>
      </c>
      <c r="B1907" s="279" t="s">
        <v>195</v>
      </c>
      <c r="C1907" s="48">
        <f t="shared" si="2352"/>
        <v>0</v>
      </c>
      <c r="D1907" s="84">
        <f t="shared" si="2356"/>
        <v>0</v>
      </c>
      <c r="E1907" s="45">
        <f t="shared" si="2357"/>
        <v>0</v>
      </c>
      <c r="F1907" s="45">
        <f t="shared" si="2353"/>
        <v>0</v>
      </c>
      <c r="G1907" s="79">
        <f t="shared" si="2354"/>
        <v>0</v>
      </c>
      <c r="H1907" s="199"/>
      <c r="I1907" s="199"/>
      <c r="J1907" s="200"/>
      <c r="K1907" s="201"/>
      <c r="L1907" s="276"/>
      <c r="M1907" s="276"/>
      <c r="N1907" s="288">
        <v>70777</v>
      </c>
      <c r="O1907" s="288">
        <v>30108</v>
      </c>
      <c r="P1907" s="288">
        <v>49830</v>
      </c>
      <c r="Q1907" s="288"/>
      <c r="R1907" s="288">
        <v>47296</v>
      </c>
      <c r="S1907" s="289">
        <v>7238.9</v>
      </c>
      <c r="T1907" s="289">
        <v>977.6</v>
      </c>
      <c r="U1907" s="289"/>
      <c r="V1907" s="288">
        <v>106654</v>
      </c>
      <c r="W1907" s="288">
        <v>44571</v>
      </c>
      <c r="X1907" s="288">
        <v>37633</v>
      </c>
      <c r="Y1907" s="288">
        <v>92778</v>
      </c>
      <c r="Z1907" s="288">
        <v>63410</v>
      </c>
    </row>
    <row r="1908" spans="1:26" ht="18" customHeight="1" x14ac:dyDescent="0.2">
      <c r="A1908" s="279">
        <f t="shared" si="2355"/>
        <v>44759</v>
      </c>
      <c r="B1908" s="278" t="s">
        <v>190</v>
      </c>
      <c r="C1908" s="48">
        <f t="shared" si="2352"/>
        <v>3232</v>
      </c>
      <c r="D1908" s="84">
        <f t="shared" si="2356"/>
        <v>1104</v>
      </c>
      <c r="E1908" s="45">
        <f t="shared" si="2357"/>
        <v>3244.0000000000555</v>
      </c>
      <c r="F1908" s="45">
        <f t="shared" si="2353"/>
        <v>388</v>
      </c>
      <c r="G1908" s="79">
        <f t="shared" si="2354"/>
        <v>7968.0000000000555</v>
      </c>
      <c r="H1908" s="199"/>
      <c r="I1908" s="199"/>
      <c r="J1908" s="200"/>
      <c r="K1908" s="201"/>
      <c r="L1908" s="276"/>
      <c r="M1908" s="276"/>
      <c r="N1908" s="288">
        <v>70777</v>
      </c>
      <c r="O1908" s="288">
        <v>30108</v>
      </c>
      <c r="P1908" s="288">
        <v>49830</v>
      </c>
      <c r="Q1908" s="288"/>
      <c r="R1908" s="288">
        <v>47296</v>
      </c>
      <c r="S1908" s="289">
        <v>7238.9</v>
      </c>
      <c r="T1908" s="289">
        <v>977.6</v>
      </c>
      <c r="U1908" s="289"/>
      <c r="V1908" s="288">
        <v>106654</v>
      </c>
      <c r="W1908" s="288">
        <v>44571</v>
      </c>
      <c r="X1908" s="288">
        <v>37633</v>
      </c>
      <c r="Y1908" s="288">
        <v>92778</v>
      </c>
      <c r="Z1908" s="288">
        <v>63410</v>
      </c>
    </row>
    <row r="1909" spans="1:26" ht="18" customHeight="1" x14ac:dyDescent="0.2">
      <c r="A1909" s="279">
        <f t="shared" si="2355"/>
        <v>44760</v>
      </c>
      <c r="B1909" s="280" t="s">
        <v>191</v>
      </c>
      <c r="C1909" s="48">
        <f t="shared" ref="C1909:C1916" si="2358">(V1910-V1909)*1+(W1910-W1909)*32+(X1910-X1909)*12+(Y1910-Y1909)*6</f>
        <v>2588</v>
      </c>
      <c r="D1909" s="84">
        <f t="shared" si="2356"/>
        <v>1064</v>
      </c>
      <c r="E1909" s="45">
        <f t="shared" si="2357"/>
        <v>2371.9999999999436</v>
      </c>
      <c r="F1909" s="45">
        <f t="shared" ref="F1909:F1916" si="2359">(Z1910-Z1909)*1</f>
        <v>132</v>
      </c>
      <c r="G1909" s="79">
        <f t="shared" ref="G1909:G1916" si="2360">C1909+D1909+F1909+E1909</f>
        <v>6155.9999999999436</v>
      </c>
      <c r="H1909" s="199"/>
      <c r="I1909" s="199"/>
      <c r="J1909" s="200"/>
      <c r="K1909" s="201"/>
      <c r="L1909" s="276"/>
      <c r="M1909" s="276"/>
      <c r="N1909" s="235">
        <v>70869</v>
      </c>
      <c r="O1909" s="235">
        <v>30143</v>
      </c>
      <c r="P1909" s="235">
        <v>49876</v>
      </c>
      <c r="Q1909" s="235"/>
      <c r="R1909" s="235">
        <v>47296</v>
      </c>
      <c r="S1909" s="236">
        <v>7276.1</v>
      </c>
      <c r="T1909" s="236">
        <v>984.3</v>
      </c>
      <c r="U1909" s="236"/>
      <c r="V1909" s="235">
        <v>107166</v>
      </c>
      <c r="W1909" s="235">
        <v>44635</v>
      </c>
      <c r="X1909" s="235">
        <v>37689</v>
      </c>
      <c r="Y1909" s="235">
        <v>92778</v>
      </c>
      <c r="Z1909" s="235">
        <v>63798</v>
      </c>
    </row>
    <row r="1910" spans="1:26" ht="18" customHeight="1" x14ac:dyDescent="0.2">
      <c r="A1910" s="279">
        <f t="shared" si="2355"/>
        <v>44761</v>
      </c>
      <c r="B1910" s="280" t="s">
        <v>192</v>
      </c>
      <c r="C1910" s="48">
        <f t="shared" si="2358"/>
        <v>2601</v>
      </c>
      <c r="D1910" s="84">
        <f t="shared" si="2356"/>
        <v>1016</v>
      </c>
      <c r="E1910" s="45">
        <f t="shared" si="2357"/>
        <v>2256.0000000000309</v>
      </c>
      <c r="F1910" s="45">
        <f t="shared" si="2359"/>
        <v>122</v>
      </c>
      <c r="G1910" s="79">
        <f t="shared" si="2360"/>
        <v>5995.0000000000309</v>
      </c>
      <c r="H1910" s="199"/>
      <c r="I1910" s="199"/>
      <c r="J1910" s="200"/>
      <c r="K1910" s="201"/>
      <c r="L1910" s="276"/>
      <c r="M1910" s="276"/>
      <c r="N1910" s="235">
        <v>70961</v>
      </c>
      <c r="O1910" s="235">
        <v>30179</v>
      </c>
      <c r="P1910" s="235">
        <v>49917</v>
      </c>
      <c r="Q1910" s="235"/>
      <c r="R1910" s="235">
        <v>47296</v>
      </c>
      <c r="S1910" s="236">
        <v>7301.4</v>
      </c>
      <c r="T1910" s="236">
        <v>993</v>
      </c>
      <c r="U1910" s="236"/>
      <c r="V1910" s="235">
        <v>107418</v>
      </c>
      <c r="W1910" s="235">
        <v>44684</v>
      </c>
      <c r="X1910" s="235">
        <v>37753</v>
      </c>
      <c r="Y1910" s="235">
        <v>92778</v>
      </c>
      <c r="Z1910" s="235">
        <v>63930</v>
      </c>
    </row>
    <row r="1911" spans="1:26" ht="18" customHeight="1" x14ac:dyDescent="0.2">
      <c r="A1911" s="279">
        <f t="shared" si="2355"/>
        <v>44762</v>
      </c>
      <c r="B1911" s="280" t="s">
        <v>193</v>
      </c>
      <c r="C1911" s="48">
        <f t="shared" si="2358"/>
        <v>2463</v>
      </c>
      <c r="D1911" s="84">
        <f t="shared" si="2356"/>
        <v>936</v>
      </c>
      <c r="E1911" s="45">
        <f t="shared" si="2357"/>
        <v>2163.9999999999964</v>
      </c>
      <c r="F1911" s="45">
        <f t="shared" si="2359"/>
        <v>132</v>
      </c>
      <c r="G1911" s="79">
        <f t="shared" si="2360"/>
        <v>5694.9999999999964</v>
      </c>
      <c r="H1911" s="199"/>
      <c r="I1911" s="199"/>
      <c r="J1911" s="200"/>
      <c r="K1911" s="201"/>
      <c r="L1911" s="276"/>
      <c r="M1911" s="276"/>
      <c r="N1911" s="235">
        <v>71051</v>
      </c>
      <c r="O1911" s="235">
        <v>30214</v>
      </c>
      <c r="P1911" s="235">
        <v>49954</v>
      </c>
      <c r="Q1911" s="235"/>
      <c r="R1911" s="235">
        <v>47296</v>
      </c>
      <c r="S1911" s="236">
        <v>7327.5</v>
      </c>
      <c r="T1911" s="236">
        <v>997.2</v>
      </c>
      <c r="U1911" s="236"/>
      <c r="V1911" s="235">
        <v>107667</v>
      </c>
      <c r="W1911" s="235">
        <v>44732</v>
      </c>
      <c r="X1911" s="235">
        <v>37821</v>
      </c>
      <c r="Y1911" s="235">
        <v>92778</v>
      </c>
      <c r="Z1911" s="235">
        <v>64052</v>
      </c>
    </row>
    <row r="1912" spans="1:26" ht="18" customHeight="1" x14ac:dyDescent="0.2">
      <c r="A1912" s="279">
        <f t="shared" si="2355"/>
        <v>44763</v>
      </c>
      <c r="B1912" s="280" t="s">
        <v>194</v>
      </c>
      <c r="C1912" s="48">
        <f t="shared" si="2358"/>
        <v>2514</v>
      </c>
      <c r="D1912" s="84">
        <f t="shared" si="2356"/>
        <v>904</v>
      </c>
      <c r="E1912" s="45">
        <f t="shared" si="2357"/>
        <v>2395.9999999999718</v>
      </c>
      <c r="F1912" s="45">
        <f t="shared" si="2359"/>
        <v>126</v>
      </c>
      <c r="G1912" s="79">
        <f t="shared" si="2360"/>
        <v>5939.9999999999718</v>
      </c>
      <c r="H1912" s="199"/>
      <c r="I1912" s="199"/>
      <c r="J1912" s="200"/>
      <c r="K1912" s="201"/>
      <c r="L1912" s="276"/>
      <c r="M1912" s="276"/>
      <c r="N1912" s="235">
        <v>71137</v>
      </c>
      <c r="O1912" s="235">
        <v>30246</v>
      </c>
      <c r="P1912" s="235">
        <v>49985</v>
      </c>
      <c r="Q1912" s="235"/>
      <c r="R1912" s="235">
        <v>47296</v>
      </c>
      <c r="S1912" s="236">
        <v>7353.5</v>
      </c>
      <c r="T1912" s="236">
        <v>999.3</v>
      </c>
      <c r="U1912" s="236"/>
      <c r="V1912" s="235">
        <v>107910</v>
      </c>
      <c r="W1912" s="235">
        <v>44780</v>
      </c>
      <c r="X1912" s="235">
        <v>37878</v>
      </c>
      <c r="Y1912" s="235">
        <v>92778</v>
      </c>
      <c r="Z1912" s="235">
        <v>64184</v>
      </c>
    </row>
    <row r="1913" spans="1:26" ht="18" customHeight="1" x14ac:dyDescent="0.2">
      <c r="A1913" s="279">
        <f t="shared" si="2355"/>
        <v>44764</v>
      </c>
      <c r="B1913" s="278" t="s">
        <v>189</v>
      </c>
      <c r="C1913" s="48">
        <f t="shared" si="2358"/>
        <v>0</v>
      </c>
      <c r="D1913" s="84">
        <f t="shared" si="2356"/>
        <v>0</v>
      </c>
      <c r="E1913" s="45">
        <f t="shared" si="2357"/>
        <v>0</v>
      </c>
      <c r="F1913" s="45">
        <f t="shared" si="2359"/>
        <v>0</v>
      </c>
      <c r="G1913" s="79">
        <f t="shared" si="2360"/>
        <v>0</v>
      </c>
      <c r="H1913" s="199"/>
      <c r="I1913" s="199"/>
      <c r="J1913" s="200"/>
      <c r="K1913" s="201"/>
      <c r="L1913" s="276"/>
      <c r="M1913" s="276"/>
      <c r="N1913" s="235">
        <v>71180</v>
      </c>
      <c r="O1913" s="235">
        <v>30262</v>
      </c>
      <c r="P1913" s="235">
        <v>50055</v>
      </c>
      <c r="Q1913" s="235"/>
      <c r="R1913" s="235">
        <v>47296</v>
      </c>
      <c r="S1913" s="236">
        <v>7381.4</v>
      </c>
      <c r="T1913" s="236">
        <v>1003.4</v>
      </c>
      <c r="U1913" s="236"/>
      <c r="V1913" s="235">
        <v>108168</v>
      </c>
      <c r="W1913" s="235">
        <v>44828</v>
      </c>
      <c r="X1913" s="235">
        <v>37938</v>
      </c>
      <c r="Y1913" s="235">
        <v>92778</v>
      </c>
      <c r="Z1913" s="235">
        <v>64310</v>
      </c>
    </row>
    <row r="1914" spans="1:26" ht="18" customHeight="1" x14ac:dyDescent="0.2">
      <c r="A1914" s="279">
        <f t="shared" si="2355"/>
        <v>44765</v>
      </c>
      <c r="B1914" s="279" t="s">
        <v>195</v>
      </c>
      <c r="C1914" s="48">
        <f t="shared" si="2358"/>
        <v>0</v>
      </c>
      <c r="D1914" s="84">
        <f t="shared" si="2356"/>
        <v>0</v>
      </c>
      <c r="E1914" s="45">
        <f t="shared" si="2357"/>
        <v>0</v>
      </c>
      <c r="F1914" s="45">
        <f t="shared" si="2359"/>
        <v>0</v>
      </c>
      <c r="G1914" s="79">
        <f t="shared" si="2360"/>
        <v>0</v>
      </c>
      <c r="H1914" s="199"/>
      <c r="I1914" s="199"/>
      <c r="J1914" s="200"/>
      <c r="K1914" s="201"/>
      <c r="L1914" s="276"/>
      <c r="M1914" s="276"/>
      <c r="N1914" s="288">
        <v>71180</v>
      </c>
      <c r="O1914" s="288">
        <v>30262</v>
      </c>
      <c r="P1914" s="288">
        <v>50055</v>
      </c>
      <c r="Q1914" s="288"/>
      <c r="R1914" s="288">
        <v>47296</v>
      </c>
      <c r="S1914" s="289">
        <v>7381.4</v>
      </c>
      <c r="T1914" s="289">
        <v>1003.4</v>
      </c>
      <c r="U1914" s="289"/>
      <c r="V1914" s="288">
        <v>108168</v>
      </c>
      <c r="W1914" s="288">
        <v>44828</v>
      </c>
      <c r="X1914" s="288">
        <v>37938</v>
      </c>
      <c r="Y1914" s="288">
        <v>92778</v>
      </c>
      <c r="Z1914" s="288">
        <v>64310</v>
      </c>
    </row>
    <row r="1915" spans="1:26" ht="18" customHeight="1" x14ac:dyDescent="0.2">
      <c r="A1915" s="279">
        <f t="shared" si="2355"/>
        <v>44766</v>
      </c>
      <c r="B1915" s="278" t="s">
        <v>190</v>
      </c>
      <c r="C1915" s="48">
        <f t="shared" si="2358"/>
        <v>2945</v>
      </c>
      <c r="D1915" s="84">
        <f t="shared" si="2356"/>
        <v>912</v>
      </c>
      <c r="E1915" s="45">
        <f t="shared" si="2357"/>
        <v>2100</v>
      </c>
      <c r="F1915" s="45">
        <f t="shared" si="2359"/>
        <v>410</v>
      </c>
      <c r="G1915" s="79">
        <f t="shared" si="2360"/>
        <v>6367</v>
      </c>
      <c r="H1915" s="199"/>
      <c r="I1915" s="199"/>
      <c r="J1915" s="200"/>
      <c r="K1915" s="201"/>
      <c r="L1915" s="276"/>
      <c r="M1915" s="276"/>
      <c r="N1915" s="288">
        <v>71180</v>
      </c>
      <c r="O1915" s="288">
        <v>30262</v>
      </c>
      <c r="P1915" s="288">
        <v>50055</v>
      </c>
      <c r="Q1915" s="288"/>
      <c r="R1915" s="288">
        <v>47296</v>
      </c>
      <c r="S1915" s="289">
        <v>7381.4</v>
      </c>
      <c r="T1915" s="289">
        <v>1003.4</v>
      </c>
      <c r="U1915" s="289"/>
      <c r="V1915" s="288">
        <v>108168</v>
      </c>
      <c r="W1915" s="288">
        <v>44828</v>
      </c>
      <c r="X1915" s="288">
        <v>37938</v>
      </c>
      <c r="Y1915" s="288">
        <v>92778</v>
      </c>
      <c r="Z1915" s="288">
        <v>64310</v>
      </c>
    </row>
    <row r="1916" spans="1:26" ht="18" customHeight="1" x14ac:dyDescent="0.2">
      <c r="A1916" s="279">
        <f t="shared" si="2355"/>
        <v>44767</v>
      </c>
      <c r="B1916" s="280" t="s">
        <v>191</v>
      </c>
      <c r="C1916" s="48">
        <f t="shared" si="2358"/>
        <v>2376</v>
      </c>
      <c r="D1916" s="84">
        <f t="shared" si="2356"/>
        <v>1104</v>
      </c>
      <c r="E1916" s="45">
        <f t="shared" si="2357"/>
        <v>1956.0000000000446</v>
      </c>
      <c r="F1916" s="45">
        <f t="shared" si="2359"/>
        <v>99</v>
      </c>
      <c r="G1916" s="79">
        <f t="shared" si="2360"/>
        <v>5535.0000000000446</v>
      </c>
      <c r="H1916" s="199"/>
      <c r="I1916" s="199"/>
      <c r="J1916" s="200"/>
      <c r="K1916" s="201"/>
      <c r="L1916" s="276"/>
      <c r="M1916" s="276"/>
      <c r="N1916" s="235">
        <v>71220</v>
      </c>
      <c r="O1916" s="235">
        <v>30279</v>
      </c>
      <c r="P1916" s="235">
        <v>50129</v>
      </c>
      <c r="Q1916" s="235"/>
      <c r="R1916" s="235">
        <v>47296</v>
      </c>
      <c r="S1916" s="236">
        <v>7406.9</v>
      </c>
      <c r="T1916" s="236">
        <v>1004.9</v>
      </c>
      <c r="U1916" s="236"/>
      <c r="V1916" s="235">
        <v>108797</v>
      </c>
      <c r="W1916" s="235">
        <v>44885</v>
      </c>
      <c r="X1916" s="235">
        <v>37979</v>
      </c>
      <c r="Y1916" s="235">
        <v>92778</v>
      </c>
      <c r="Z1916" s="235">
        <v>64720</v>
      </c>
    </row>
    <row r="1917" spans="1:26" ht="18" customHeight="1" x14ac:dyDescent="0.2">
      <c r="A1917" s="279">
        <f t="shared" si="2355"/>
        <v>44768</v>
      </c>
      <c r="B1917" s="280" t="s">
        <v>192</v>
      </c>
      <c r="C1917" s="48">
        <f t="shared" ref="C1917:C1923" si="2361">(V1918-V1917)*1+(W1918-W1917)*32+(X1918-X1917)*12+(Y1918-Y1917)*6</f>
        <v>2316</v>
      </c>
      <c r="D1917" s="84">
        <f t="shared" si="2356"/>
        <v>1024</v>
      </c>
      <c r="E1917" s="45">
        <f t="shared" si="2357"/>
        <v>2095.9999999999991</v>
      </c>
      <c r="F1917" s="45">
        <f t="shared" ref="F1917:F1923" si="2362">(Z1918-Z1917)*1</f>
        <v>109</v>
      </c>
      <c r="G1917" s="79">
        <f t="shared" ref="G1917:G1923" si="2363">C1917+D1917+F1917+E1917</f>
        <v>5544.9999999999991</v>
      </c>
      <c r="H1917" s="199"/>
      <c r="I1917" s="199"/>
      <c r="J1917" s="200"/>
      <c r="K1917" s="201"/>
      <c r="L1917" s="276"/>
      <c r="M1917" s="276"/>
      <c r="N1917" s="235">
        <v>71277</v>
      </c>
      <c r="O1917" s="235">
        <v>30301</v>
      </c>
      <c r="P1917" s="235">
        <v>50210</v>
      </c>
      <c r="Q1917" s="235"/>
      <c r="R1917" s="235">
        <v>47296</v>
      </c>
      <c r="S1917" s="236">
        <v>7429.8</v>
      </c>
      <c r="T1917" s="236">
        <v>1008</v>
      </c>
      <c r="U1917" s="236"/>
      <c r="V1917" s="235">
        <v>109073</v>
      </c>
      <c r="W1917" s="235">
        <v>44930</v>
      </c>
      <c r="X1917" s="235">
        <v>38034</v>
      </c>
      <c r="Y1917" s="235">
        <v>92778</v>
      </c>
      <c r="Z1917" s="235">
        <v>64819</v>
      </c>
    </row>
    <row r="1918" spans="1:26" ht="18" customHeight="1" x14ac:dyDescent="0.2">
      <c r="A1918" s="279">
        <f t="shared" si="2355"/>
        <v>44769</v>
      </c>
      <c r="B1918" s="280" t="s">
        <v>193</v>
      </c>
      <c r="C1918" s="48">
        <f t="shared" si="2361"/>
        <v>2609</v>
      </c>
      <c r="D1918" s="84">
        <f t="shared" si="2356"/>
        <v>1048</v>
      </c>
      <c r="E1918" s="45">
        <f t="shared" si="2357"/>
        <v>2203.9999999999873</v>
      </c>
      <c r="F1918" s="45">
        <f t="shared" si="2362"/>
        <v>141</v>
      </c>
      <c r="G1918" s="79">
        <f t="shared" si="2363"/>
        <v>6001.9999999999873</v>
      </c>
      <c r="H1918" s="199"/>
      <c r="I1918" s="199"/>
      <c r="J1918" s="200"/>
      <c r="K1918" s="201"/>
      <c r="L1918" s="276"/>
      <c r="M1918" s="276"/>
      <c r="N1918" s="235">
        <v>71337</v>
      </c>
      <c r="O1918" s="235">
        <v>30325</v>
      </c>
      <c r="P1918" s="235">
        <v>50278</v>
      </c>
      <c r="Q1918" s="235"/>
      <c r="R1918" s="235">
        <v>47296</v>
      </c>
      <c r="S1918" s="236">
        <v>7454.3</v>
      </c>
      <c r="T1918" s="236">
        <v>1011.4</v>
      </c>
      <c r="U1918" s="236"/>
      <c r="V1918" s="235">
        <v>109333</v>
      </c>
      <c r="W1918" s="235">
        <v>44974</v>
      </c>
      <c r="X1918" s="235">
        <v>38088</v>
      </c>
      <c r="Y1918" s="235">
        <v>92778</v>
      </c>
      <c r="Z1918" s="235">
        <v>64928</v>
      </c>
    </row>
    <row r="1919" spans="1:26" ht="18" customHeight="1" x14ac:dyDescent="0.2">
      <c r="A1919" s="279">
        <f t="shared" si="2355"/>
        <v>44770</v>
      </c>
      <c r="B1919" s="280" t="s">
        <v>194</v>
      </c>
      <c r="C1919" s="48">
        <f t="shared" si="2361"/>
        <v>1954</v>
      </c>
      <c r="D1919" s="84">
        <f t="shared" si="2356"/>
        <v>1032</v>
      </c>
      <c r="E1919" s="45">
        <f t="shared" si="2357"/>
        <v>1904.0000000000009</v>
      </c>
      <c r="F1919" s="45">
        <f t="shared" si="2362"/>
        <v>91</v>
      </c>
      <c r="G1919" s="79">
        <f t="shared" si="2363"/>
        <v>4981.0000000000009</v>
      </c>
      <c r="H1919" s="199"/>
      <c r="I1919" s="199"/>
      <c r="J1919" s="200"/>
      <c r="K1919" s="201"/>
      <c r="L1919" s="276"/>
      <c r="M1919" s="276"/>
      <c r="N1919" s="235">
        <v>71399</v>
      </c>
      <c r="O1919" s="235">
        <v>30347</v>
      </c>
      <c r="P1919" s="235">
        <v>50347</v>
      </c>
      <c r="Q1919" s="235"/>
      <c r="R1919" s="235">
        <v>47296</v>
      </c>
      <c r="S1919" s="236">
        <v>7478.5</v>
      </c>
      <c r="T1919" s="236">
        <v>1018.1</v>
      </c>
      <c r="U1919" s="236"/>
      <c r="V1919" s="235">
        <v>109598</v>
      </c>
      <c r="W1919" s="235">
        <v>45024</v>
      </c>
      <c r="X1919" s="235">
        <v>38150</v>
      </c>
      <c r="Y1919" s="235">
        <v>92778</v>
      </c>
      <c r="Z1919" s="235">
        <v>65069</v>
      </c>
    </row>
    <row r="1920" spans="1:26" ht="18" customHeight="1" x14ac:dyDescent="0.2">
      <c r="A1920" s="279">
        <f t="shared" si="2355"/>
        <v>44771</v>
      </c>
      <c r="B1920" s="278" t="s">
        <v>189</v>
      </c>
      <c r="C1920" s="48">
        <f t="shared" si="2361"/>
        <v>0</v>
      </c>
      <c r="D1920" s="84">
        <f t="shared" si="2356"/>
        <v>0</v>
      </c>
      <c r="E1920" s="45">
        <f t="shared" si="2357"/>
        <v>0</v>
      </c>
      <c r="F1920" s="45">
        <f t="shared" si="2362"/>
        <v>0</v>
      </c>
      <c r="G1920" s="79">
        <f t="shared" si="2363"/>
        <v>0</v>
      </c>
      <c r="H1920" s="199"/>
      <c r="I1920" s="199"/>
      <c r="J1920" s="200"/>
      <c r="K1920" s="201"/>
      <c r="L1920" s="276"/>
      <c r="M1920" s="276"/>
      <c r="N1920" s="235">
        <v>71502</v>
      </c>
      <c r="O1920" s="235">
        <v>30390</v>
      </c>
      <c r="P1920" s="235">
        <v>50373</v>
      </c>
      <c r="Q1920" s="235"/>
      <c r="R1920" s="235">
        <v>47296</v>
      </c>
      <c r="S1920" s="236">
        <v>7499.5</v>
      </c>
      <c r="T1920" s="236">
        <v>1023.7</v>
      </c>
      <c r="U1920" s="236"/>
      <c r="V1920" s="235">
        <v>109832</v>
      </c>
      <c r="W1920" s="235">
        <v>45062</v>
      </c>
      <c r="X1920" s="235">
        <v>38192</v>
      </c>
      <c r="Y1920" s="235">
        <v>92778</v>
      </c>
      <c r="Z1920" s="235">
        <v>65160</v>
      </c>
    </row>
    <row r="1921" spans="1:26" ht="18" customHeight="1" x14ac:dyDescent="0.2">
      <c r="A1921" s="279">
        <f t="shared" si="2355"/>
        <v>44772</v>
      </c>
      <c r="B1921" s="279" t="s">
        <v>195</v>
      </c>
      <c r="C1921" s="48">
        <f t="shared" si="2361"/>
        <v>0</v>
      </c>
      <c r="D1921" s="84">
        <f t="shared" si="2356"/>
        <v>0</v>
      </c>
      <c r="E1921" s="45">
        <f t="shared" si="2357"/>
        <v>0</v>
      </c>
      <c r="F1921" s="45">
        <f t="shared" si="2362"/>
        <v>0</v>
      </c>
      <c r="G1921" s="79">
        <f t="shared" si="2363"/>
        <v>0</v>
      </c>
      <c r="H1921" s="199"/>
      <c r="I1921" s="199"/>
      <c r="J1921" s="200"/>
      <c r="K1921" s="201"/>
      <c r="L1921" s="276"/>
      <c r="M1921" s="276"/>
      <c r="N1921" s="153">
        <v>71502</v>
      </c>
      <c r="O1921" s="153">
        <v>30390</v>
      </c>
      <c r="P1921" s="153">
        <v>50373</v>
      </c>
      <c r="Q1921" s="153"/>
      <c r="R1921" s="153">
        <v>47296</v>
      </c>
      <c r="S1921" s="154">
        <v>7499.5</v>
      </c>
      <c r="T1921" s="154">
        <v>1023.7</v>
      </c>
      <c r="U1921" s="154"/>
      <c r="V1921" s="153">
        <v>109832</v>
      </c>
      <c r="W1921" s="153">
        <v>45062</v>
      </c>
      <c r="X1921" s="153">
        <v>38192</v>
      </c>
      <c r="Y1921" s="153">
        <v>92778</v>
      </c>
      <c r="Z1921" s="153">
        <v>65160</v>
      </c>
    </row>
    <row r="1922" spans="1:26" ht="18" customHeight="1" x14ac:dyDescent="0.2">
      <c r="A1922" s="279">
        <f t="shared" si="2355"/>
        <v>44773</v>
      </c>
      <c r="B1922" s="278" t="s">
        <v>190</v>
      </c>
      <c r="C1922" s="48">
        <f t="shared" si="2361"/>
        <v>3412</v>
      </c>
      <c r="D1922" s="84">
        <f t="shared" si="2356"/>
        <v>1176</v>
      </c>
      <c r="E1922" s="45">
        <f t="shared" si="2357"/>
        <v>2640.0000000000273</v>
      </c>
      <c r="F1922" s="45">
        <f t="shared" si="2362"/>
        <v>258</v>
      </c>
      <c r="G1922" s="79">
        <f t="shared" si="2363"/>
        <v>7486.0000000000273</v>
      </c>
      <c r="H1922" s="199"/>
      <c r="I1922" s="199"/>
      <c r="J1922" s="200"/>
      <c r="K1922" s="201"/>
      <c r="L1922" s="276"/>
      <c r="M1922" s="276"/>
      <c r="N1922" s="153">
        <v>71502</v>
      </c>
      <c r="O1922" s="153">
        <v>30390</v>
      </c>
      <c r="P1922" s="153">
        <v>50373</v>
      </c>
      <c r="Q1922" s="153"/>
      <c r="R1922" s="153">
        <v>47296</v>
      </c>
      <c r="S1922" s="154">
        <v>7499.5</v>
      </c>
      <c r="T1922" s="154">
        <v>1023.7</v>
      </c>
      <c r="U1922" s="154"/>
      <c r="V1922" s="153">
        <v>109832</v>
      </c>
      <c r="W1922" s="153">
        <v>45062</v>
      </c>
      <c r="X1922" s="153">
        <v>38192</v>
      </c>
      <c r="Y1922" s="153">
        <v>92778</v>
      </c>
      <c r="Z1922" s="153">
        <v>65160</v>
      </c>
    </row>
    <row r="1923" spans="1:26" ht="18" customHeight="1" x14ac:dyDescent="0.2">
      <c r="A1923" s="279">
        <f t="shared" si="2355"/>
        <v>44774</v>
      </c>
      <c r="B1923" s="280" t="s">
        <v>191</v>
      </c>
      <c r="C1923" s="48">
        <f t="shared" si="2361"/>
        <v>2598</v>
      </c>
      <c r="D1923" s="84">
        <f t="shared" si="2356"/>
        <v>1200</v>
      </c>
      <c r="E1923" s="45">
        <f t="shared" si="2357"/>
        <v>1931.9999999999891</v>
      </c>
      <c r="F1923" s="45">
        <f t="shared" si="2362"/>
        <v>113</v>
      </c>
      <c r="G1923" s="79">
        <f t="shared" si="2363"/>
        <v>5842.9999999999891</v>
      </c>
      <c r="H1923" s="199"/>
      <c r="I1923" s="199"/>
      <c r="J1923" s="200"/>
      <c r="K1923" s="201"/>
      <c r="L1923" s="276"/>
      <c r="M1923" s="276"/>
      <c r="N1923" s="235">
        <v>71609</v>
      </c>
      <c r="O1923" s="235">
        <v>30435</v>
      </c>
      <c r="P1923" s="235">
        <v>50413</v>
      </c>
      <c r="Q1923" s="235"/>
      <c r="R1923" s="235">
        <v>47296</v>
      </c>
      <c r="S1923" s="236">
        <v>7527.6</v>
      </c>
      <c r="T1923" s="236">
        <v>1033.5</v>
      </c>
      <c r="U1923" s="236"/>
      <c r="V1923" s="235">
        <v>110352</v>
      </c>
      <c r="W1923" s="235">
        <v>45128</v>
      </c>
      <c r="X1923" s="235">
        <v>38257</v>
      </c>
      <c r="Y1923" s="235">
        <v>92778</v>
      </c>
      <c r="Z1923" s="235">
        <v>65418</v>
      </c>
    </row>
    <row r="1924" spans="1:26" ht="18" customHeight="1" x14ac:dyDescent="0.2">
      <c r="A1924" s="279">
        <f t="shared" si="2355"/>
        <v>44775</v>
      </c>
      <c r="B1924" s="280" t="s">
        <v>192</v>
      </c>
      <c r="C1924" s="48">
        <f t="shared" ref="C1924:C1939" si="2364">(V1925-V1924)*1+(W1925-W1924)*32+(X1925-X1924)*12+(Y1925-Y1924)*6</f>
        <v>2484</v>
      </c>
      <c r="D1924" s="84">
        <f t="shared" si="2356"/>
        <v>1256</v>
      </c>
      <c r="E1924" s="45">
        <f t="shared" si="2357"/>
        <v>1983.9999999999691</v>
      </c>
      <c r="F1924" s="45">
        <f t="shared" ref="F1924:F1939" si="2365">(Z1925-Z1924)*1</f>
        <v>105</v>
      </c>
      <c r="G1924" s="79">
        <f t="shared" ref="G1924:G1939" si="2366">C1924+D1924+F1924+E1924</f>
        <v>5828.9999999999691</v>
      </c>
      <c r="H1924" s="199"/>
      <c r="I1924" s="199"/>
      <c r="J1924" s="200"/>
      <c r="K1924" s="201"/>
      <c r="L1924" s="276"/>
      <c r="M1924" s="276"/>
      <c r="N1924" s="235">
        <v>71680</v>
      </c>
      <c r="O1924" s="235">
        <v>30463</v>
      </c>
      <c r="P1924" s="235">
        <v>50492</v>
      </c>
      <c r="Q1924" s="235"/>
      <c r="R1924" s="235">
        <v>47296</v>
      </c>
      <c r="S1924" s="236">
        <v>7549.3</v>
      </c>
      <c r="T1924" s="236">
        <v>1038.4000000000001</v>
      </c>
      <c r="U1924" s="236"/>
      <c r="V1924" s="235">
        <v>110610</v>
      </c>
      <c r="W1924" s="235">
        <v>45176</v>
      </c>
      <c r="X1924" s="235">
        <v>38324</v>
      </c>
      <c r="Y1924" s="235">
        <v>92778</v>
      </c>
      <c r="Z1924" s="235">
        <v>65531</v>
      </c>
    </row>
    <row r="1925" spans="1:26" ht="18" customHeight="1" x14ac:dyDescent="0.2">
      <c r="A1925" s="279">
        <f t="shared" si="2355"/>
        <v>44776</v>
      </c>
      <c r="B1925" s="280" t="s">
        <v>193</v>
      </c>
      <c r="C1925" s="48">
        <f t="shared" si="2364"/>
        <v>2273</v>
      </c>
      <c r="D1925" s="84">
        <f t="shared" si="2356"/>
        <v>1272</v>
      </c>
      <c r="E1925" s="45">
        <f t="shared" si="2357"/>
        <v>1900.0000000000091</v>
      </c>
      <c r="F1925" s="45">
        <f t="shared" si="2365"/>
        <v>97</v>
      </c>
      <c r="G1925" s="79">
        <f t="shared" si="2366"/>
        <v>5542.0000000000091</v>
      </c>
      <c r="H1925" s="199"/>
      <c r="I1925" s="199"/>
      <c r="J1925" s="200"/>
      <c r="K1925" s="201"/>
      <c r="L1925" s="276"/>
      <c r="M1925" s="276"/>
      <c r="N1925" s="235">
        <v>71760</v>
      </c>
      <c r="O1925" s="235">
        <v>30493</v>
      </c>
      <c r="P1925" s="235">
        <v>50569</v>
      </c>
      <c r="Q1925" s="235"/>
      <c r="R1925" s="235">
        <v>47296</v>
      </c>
      <c r="S1925" s="236">
        <v>7572.7</v>
      </c>
      <c r="T1925" s="236">
        <v>1041.2</v>
      </c>
      <c r="U1925" s="236"/>
      <c r="V1925" s="235">
        <v>110826</v>
      </c>
      <c r="W1925" s="235">
        <v>45224</v>
      </c>
      <c r="X1925" s="235">
        <v>38385</v>
      </c>
      <c r="Y1925" s="235">
        <v>92778</v>
      </c>
      <c r="Z1925" s="235">
        <v>65636</v>
      </c>
    </row>
    <row r="1926" spans="1:26" ht="18" customHeight="1" x14ac:dyDescent="0.2">
      <c r="A1926" s="279">
        <f t="shared" si="2355"/>
        <v>44777</v>
      </c>
      <c r="B1926" s="280" t="s">
        <v>194</v>
      </c>
      <c r="C1926" s="48">
        <f t="shared" si="2364"/>
        <v>2303</v>
      </c>
      <c r="D1926" s="84">
        <f t="shared" si="2356"/>
        <v>1248</v>
      </c>
      <c r="E1926" s="45">
        <f t="shared" si="2357"/>
        <v>2191.9999999999709</v>
      </c>
      <c r="F1926" s="45">
        <f t="shared" si="2365"/>
        <v>104</v>
      </c>
      <c r="G1926" s="79">
        <f t="shared" si="2366"/>
        <v>5846.9999999999709</v>
      </c>
      <c r="H1926" s="199"/>
      <c r="I1926" s="199"/>
      <c r="J1926" s="200"/>
      <c r="K1926" s="201"/>
      <c r="L1926" s="276"/>
      <c r="M1926" s="276"/>
      <c r="N1926" s="235">
        <v>71838</v>
      </c>
      <c r="O1926" s="235">
        <v>30523</v>
      </c>
      <c r="P1926" s="235">
        <v>50650</v>
      </c>
      <c r="Q1926" s="235"/>
      <c r="R1926" s="235">
        <v>47296</v>
      </c>
      <c r="S1926" s="236">
        <v>7595.5</v>
      </c>
      <c r="T1926" s="236">
        <v>1043.0999999999999</v>
      </c>
      <c r="U1926" s="236"/>
      <c r="V1926" s="235">
        <v>111055</v>
      </c>
      <c r="W1926" s="235">
        <v>45268</v>
      </c>
      <c r="X1926" s="235">
        <v>38438</v>
      </c>
      <c r="Y1926" s="235">
        <v>92778</v>
      </c>
      <c r="Z1926" s="235">
        <v>65733</v>
      </c>
    </row>
    <row r="1927" spans="1:26" ht="18" customHeight="1" x14ac:dyDescent="0.2">
      <c r="A1927" s="279">
        <f t="shared" si="2355"/>
        <v>44778</v>
      </c>
      <c r="B1927" s="278" t="s">
        <v>189</v>
      </c>
      <c r="C1927" s="48">
        <f t="shared" si="2364"/>
        <v>0</v>
      </c>
      <c r="D1927" s="84">
        <f t="shared" si="2356"/>
        <v>0</v>
      </c>
      <c r="E1927" s="45">
        <f t="shared" si="2357"/>
        <v>0</v>
      </c>
      <c r="F1927" s="45">
        <f t="shared" si="2365"/>
        <v>0</v>
      </c>
      <c r="G1927" s="79">
        <f t="shared" si="2366"/>
        <v>0</v>
      </c>
      <c r="H1927" s="199"/>
      <c r="I1927" s="199"/>
      <c r="J1927" s="200"/>
      <c r="K1927" s="201"/>
      <c r="L1927" s="276"/>
      <c r="M1927" s="276"/>
      <c r="N1927" s="235">
        <v>71914</v>
      </c>
      <c r="O1927" s="235">
        <v>30551</v>
      </c>
      <c r="P1927" s="235">
        <v>50730</v>
      </c>
      <c r="Q1927" s="235"/>
      <c r="R1927" s="235">
        <v>47296</v>
      </c>
      <c r="S1927" s="236">
        <v>7621.9</v>
      </c>
      <c r="T1927" s="236">
        <v>1045.0999999999999</v>
      </c>
      <c r="U1927" s="236"/>
      <c r="V1927" s="235">
        <v>111294</v>
      </c>
      <c r="W1927" s="235">
        <v>45313</v>
      </c>
      <c r="X1927" s="235">
        <v>38490</v>
      </c>
      <c r="Y1927" s="235">
        <v>92778</v>
      </c>
      <c r="Z1927" s="235">
        <v>65837</v>
      </c>
    </row>
    <row r="1928" spans="1:26" ht="18" customHeight="1" x14ac:dyDescent="0.2">
      <c r="A1928" s="279">
        <f t="shared" si="2355"/>
        <v>44779</v>
      </c>
      <c r="B1928" s="279" t="s">
        <v>195</v>
      </c>
      <c r="C1928" s="48">
        <f t="shared" si="2364"/>
        <v>0</v>
      </c>
      <c r="D1928" s="84">
        <f t="shared" si="2356"/>
        <v>0</v>
      </c>
      <c r="E1928" s="45">
        <f t="shared" si="2357"/>
        <v>0</v>
      </c>
      <c r="F1928" s="45">
        <f t="shared" si="2365"/>
        <v>0</v>
      </c>
      <c r="G1928" s="79">
        <f t="shared" si="2366"/>
        <v>0</v>
      </c>
      <c r="H1928" s="199"/>
      <c r="I1928" s="199"/>
      <c r="J1928" s="200"/>
      <c r="K1928" s="201"/>
      <c r="L1928" s="276"/>
      <c r="M1928" s="276"/>
      <c r="N1928" s="235">
        <v>71914</v>
      </c>
      <c r="O1928" s="235">
        <v>30551</v>
      </c>
      <c r="P1928" s="235">
        <v>50730</v>
      </c>
      <c r="Q1928" s="235"/>
      <c r="R1928" s="235">
        <v>47296</v>
      </c>
      <c r="S1928" s="236">
        <v>7621.9</v>
      </c>
      <c r="T1928" s="236">
        <v>1045.0999999999999</v>
      </c>
      <c r="U1928" s="236"/>
      <c r="V1928" s="235">
        <v>111294</v>
      </c>
      <c r="W1928" s="235">
        <v>45313</v>
      </c>
      <c r="X1928" s="235">
        <v>38490</v>
      </c>
      <c r="Y1928" s="235">
        <v>92778</v>
      </c>
      <c r="Z1928" s="235">
        <v>65837</v>
      </c>
    </row>
    <row r="1929" spans="1:26" ht="18" customHeight="1" x14ac:dyDescent="0.2">
      <c r="A1929" s="279">
        <f t="shared" si="2355"/>
        <v>44780</v>
      </c>
      <c r="B1929" s="278" t="s">
        <v>190</v>
      </c>
      <c r="C1929" s="48">
        <f t="shared" si="2364"/>
        <v>3032</v>
      </c>
      <c r="D1929" s="84">
        <f t="shared" si="2356"/>
        <v>2992</v>
      </c>
      <c r="E1929" s="45">
        <f t="shared" si="2357"/>
        <v>2568.0000000000655</v>
      </c>
      <c r="F1929" s="45">
        <f t="shared" si="2365"/>
        <v>348</v>
      </c>
      <c r="G1929" s="79">
        <f t="shared" si="2366"/>
        <v>8940.0000000000655</v>
      </c>
      <c r="H1929" s="199"/>
      <c r="I1929" s="199"/>
      <c r="J1929" s="200"/>
      <c r="K1929" s="201"/>
      <c r="L1929" s="276"/>
      <c r="M1929" s="276"/>
      <c r="N1929" s="235">
        <v>71914</v>
      </c>
      <c r="O1929" s="235">
        <v>30551</v>
      </c>
      <c r="P1929" s="235">
        <v>50730</v>
      </c>
      <c r="Q1929" s="235"/>
      <c r="R1929" s="235">
        <v>47296</v>
      </c>
      <c r="S1929" s="236">
        <v>7621.9</v>
      </c>
      <c r="T1929" s="236">
        <v>1045.0999999999999</v>
      </c>
      <c r="U1929" s="236"/>
      <c r="V1929" s="235">
        <v>111294</v>
      </c>
      <c r="W1929" s="235">
        <v>45313</v>
      </c>
      <c r="X1929" s="235">
        <v>38490</v>
      </c>
      <c r="Y1929" s="235">
        <v>92778</v>
      </c>
      <c r="Z1929" s="235">
        <v>65837</v>
      </c>
    </row>
    <row r="1930" spans="1:26" ht="18" customHeight="1" x14ac:dyDescent="0.2">
      <c r="A1930" s="279">
        <f t="shared" si="2355"/>
        <v>44781</v>
      </c>
      <c r="B1930" s="280" t="s">
        <v>191</v>
      </c>
      <c r="C1930" s="48">
        <f t="shared" si="2364"/>
        <v>2002</v>
      </c>
      <c r="D1930" s="84">
        <f t="shared" si="2356"/>
        <v>1464</v>
      </c>
      <c r="E1930" s="45">
        <f t="shared" si="2357"/>
        <v>2175.9999999999945</v>
      </c>
      <c r="F1930" s="45">
        <f t="shared" si="2365"/>
        <v>106</v>
      </c>
      <c r="G1930" s="79">
        <f t="shared" si="2366"/>
        <v>5747.9999999999945</v>
      </c>
      <c r="H1930" s="199"/>
      <c r="I1930" s="199"/>
      <c r="J1930" s="200"/>
      <c r="K1930" s="201"/>
      <c r="L1930" s="276"/>
      <c r="M1930" s="276"/>
      <c r="N1930" s="235">
        <v>72085</v>
      </c>
      <c r="O1930" s="235">
        <v>30618</v>
      </c>
      <c r="P1930" s="235">
        <v>50933</v>
      </c>
      <c r="Q1930" s="235"/>
      <c r="R1930" s="235">
        <v>47296</v>
      </c>
      <c r="S1930" s="236">
        <v>7652.6</v>
      </c>
      <c r="T1930" s="236">
        <v>1047.9000000000001</v>
      </c>
      <c r="U1930" s="236"/>
      <c r="V1930" s="235">
        <v>111858</v>
      </c>
      <c r="W1930" s="235">
        <v>45371</v>
      </c>
      <c r="X1930" s="235">
        <v>38541</v>
      </c>
      <c r="Y1930" s="235">
        <v>92778</v>
      </c>
      <c r="Z1930" s="235">
        <v>66185</v>
      </c>
    </row>
    <row r="1931" spans="1:26" ht="18" customHeight="1" x14ac:dyDescent="0.2">
      <c r="A1931" s="279">
        <f t="shared" si="2355"/>
        <v>44782</v>
      </c>
      <c r="B1931" s="280" t="s">
        <v>192</v>
      </c>
      <c r="C1931" s="48">
        <f t="shared" si="2364"/>
        <v>2071</v>
      </c>
      <c r="D1931" s="84">
        <f t="shared" si="2356"/>
        <v>1432</v>
      </c>
      <c r="E1931" s="45">
        <f t="shared" si="2357"/>
        <v>2159.9999999999454</v>
      </c>
      <c r="F1931" s="45">
        <f t="shared" si="2365"/>
        <v>128</v>
      </c>
      <c r="G1931" s="79">
        <f t="shared" si="2366"/>
        <v>5790.9999999999454</v>
      </c>
      <c r="H1931" s="199"/>
      <c r="I1931" s="199"/>
      <c r="J1931" s="200"/>
      <c r="K1931" s="201"/>
      <c r="L1931" s="276"/>
      <c r="M1931" s="276"/>
      <c r="N1931" s="235">
        <v>72180</v>
      </c>
      <c r="O1931" s="235">
        <v>30655</v>
      </c>
      <c r="P1931" s="235">
        <v>51021</v>
      </c>
      <c r="Q1931" s="235"/>
      <c r="R1931" s="235">
        <v>47296</v>
      </c>
      <c r="S1931" s="236">
        <v>7678.6</v>
      </c>
      <c r="T1931" s="236">
        <v>1050.3</v>
      </c>
      <c r="U1931" s="236"/>
      <c r="V1931" s="235">
        <v>112104</v>
      </c>
      <c r="W1931" s="235">
        <v>45409</v>
      </c>
      <c r="X1931" s="235">
        <v>38586</v>
      </c>
      <c r="Y1931" s="235">
        <v>92778</v>
      </c>
      <c r="Z1931" s="235">
        <v>66291</v>
      </c>
    </row>
    <row r="1932" spans="1:26" ht="18" customHeight="1" x14ac:dyDescent="0.2">
      <c r="A1932" s="279">
        <f t="shared" si="2355"/>
        <v>44783</v>
      </c>
      <c r="B1932" s="280" t="s">
        <v>193</v>
      </c>
      <c r="C1932" s="48">
        <f t="shared" si="2364"/>
        <v>1995</v>
      </c>
      <c r="D1932" s="84">
        <f t="shared" si="2356"/>
        <v>1448</v>
      </c>
      <c r="E1932" s="45">
        <f t="shared" si="2357"/>
        <v>2364.0000000000418</v>
      </c>
      <c r="F1932" s="45">
        <f t="shared" si="2365"/>
        <v>105</v>
      </c>
      <c r="G1932" s="79">
        <f t="shared" si="2366"/>
        <v>5912.0000000000418</v>
      </c>
      <c r="H1932" s="199"/>
      <c r="I1932" s="199"/>
      <c r="J1932" s="200"/>
      <c r="K1932" s="201"/>
      <c r="L1932" s="276"/>
      <c r="M1932" s="276"/>
      <c r="N1932" s="235">
        <v>72270</v>
      </c>
      <c r="O1932" s="235">
        <v>30690</v>
      </c>
      <c r="P1932" s="235">
        <v>51110</v>
      </c>
      <c r="Q1932" s="235"/>
      <c r="R1932" s="235">
        <v>47296</v>
      </c>
      <c r="S1932" s="236">
        <v>7701.4</v>
      </c>
      <c r="T1932" s="236">
        <v>1058.7</v>
      </c>
      <c r="U1932" s="236"/>
      <c r="V1932" s="235">
        <v>112339</v>
      </c>
      <c r="W1932" s="235">
        <v>45448</v>
      </c>
      <c r="X1932" s="235">
        <v>38635</v>
      </c>
      <c r="Y1932" s="235">
        <v>92778</v>
      </c>
      <c r="Z1932" s="235">
        <v>66419</v>
      </c>
    </row>
    <row r="1933" spans="1:26" ht="18" customHeight="1" x14ac:dyDescent="0.2">
      <c r="A1933" s="279">
        <f t="shared" si="2355"/>
        <v>44784</v>
      </c>
      <c r="B1933" s="280" t="s">
        <v>194</v>
      </c>
      <c r="C1933" s="48">
        <f t="shared" si="2364"/>
        <v>1753</v>
      </c>
      <c r="D1933" s="84">
        <f t="shared" si="2356"/>
        <v>1488</v>
      </c>
      <c r="E1933" s="45">
        <f t="shared" si="2357"/>
        <v>2119.9999999999727</v>
      </c>
      <c r="F1933" s="45">
        <f t="shared" si="2365"/>
        <v>97</v>
      </c>
      <c r="G1933" s="79">
        <f t="shared" si="2366"/>
        <v>5457.9999999999727</v>
      </c>
      <c r="H1933" s="199"/>
      <c r="I1933" s="199"/>
      <c r="J1933" s="200"/>
      <c r="K1933" s="201"/>
      <c r="L1933" s="276"/>
      <c r="M1933" s="276"/>
      <c r="N1933" s="235">
        <v>72358</v>
      </c>
      <c r="O1933" s="235">
        <v>30724</v>
      </c>
      <c r="P1933" s="235">
        <v>51203</v>
      </c>
      <c r="Q1933" s="235"/>
      <c r="R1933" s="235">
        <v>47296</v>
      </c>
      <c r="S1933" s="236">
        <v>7726.8</v>
      </c>
      <c r="T1933" s="236">
        <v>1067</v>
      </c>
      <c r="U1933" s="236"/>
      <c r="V1933" s="235">
        <v>112570</v>
      </c>
      <c r="W1933" s="235">
        <v>45487</v>
      </c>
      <c r="X1933" s="235">
        <v>38678</v>
      </c>
      <c r="Y1933" s="235">
        <v>92778</v>
      </c>
      <c r="Z1933" s="235">
        <v>66524</v>
      </c>
    </row>
    <row r="1934" spans="1:26" ht="18" customHeight="1" x14ac:dyDescent="0.2">
      <c r="A1934" s="279">
        <f t="shared" si="2355"/>
        <v>44785</v>
      </c>
      <c r="B1934" s="278" t="s">
        <v>189</v>
      </c>
      <c r="C1934" s="48">
        <f t="shared" si="2364"/>
        <v>0</v>
      </c>
      <c r="D1934" s="84">
        <f t="shared" si="2356"/>
        <v>0</v>
      </c>
      <c r="E1934" s="45">
        <f t="shared" si="2357"/>
        <v>0</v>
      </c>
      <c r="F1934" s="45">
        <f t="shared" si="2365"/>
        <v>0</v>
      </c>
      <c r="G1934" s="79">
        <f t="shared" si="2366"/>
        <v>0</v>
      </c>
      <c r="H1934" s="199"/>
      <c r="I1934" s="199"/>
      <c r="J1934" s="200"/>
      <c r="K1934" s="201"/>
      <c r="L1934" s="276"/>
      <c r="M1934" s="276"/>
      <c r="N1934" s="235">
        <v>72450</v>
      </c>
      <c r="O1934" s="235">
        <v>30760</v>
      </c>
      <c r="P1934" s="235">
        <v>51297</v>
      </c>
      <c r="Q1934" s="235"/>
      <c r="R1934" s="235">
        <v>47296</v>
      </c>
      <c r="S1934" s="236">
        <v>7751.7</v>
      </c>
      <c r="T1934" s="236">
        <v>1070.2</v>
      </c>
      <c r="U1934" s="236"/>
      <c r="V1934" s="235">
        <v>112803</v>
      </c>
      <c r="W1934" s="235">
        <v>45524</v>
      </c>
      <c r="X1934" s="235">
        <v>38706</v>
      </c>
      <c r="Y1934" s="235">
        <v>92778</v>
      </c>
      <c r="Z1934" s="235">
        <v>66621</v>
      </c>
    </row>
    <row r="1935" spans="1:26" ht="18" customHeight="1" x14ac:dyDescent="0.2">
      <c r="A1935" s="279">
        <f t="shared" si="2355"/>
        <v>44786</v>
      </c>
      <c r="B1935" s="279" t="s">
        <v>195</v>
      </c>
      <c r="C1935" s="48">
        <f t="shared" si="2364"/>
        <v>0</v>
      </c>
      <c r="D1935" s="84">
        <f t="shared" si="2356"/>
        <v>0</v>
      </c>
      <c r="E1935" s="45">
        <f t="shared" si="2357"/>
        <v>0</v>
      </c>
      <c r="F1935" s="45">
        <f t="shared" si="2365"/>
        <v>0</v>
      </c>
      <c r="G1935" s="79">
        <f t="shared" si="2366"/>
        <v>0</v>
      </c>
      <c r="H1935" s="199"/>
      <c r="I1935" s="199"/>
      <c r="J1935" s="200"/>
      <c r="K1935" s="201"/>
      <c r="L1935" s="276"/>
      <c r="M1935" s="276"/>
      <c r="N1935" s="235">
        <v>72450</v>
      </c>
      <c r="O1935" s="235">
        <v>30760</v>
      </c>
      <c r="P1935" s="235">
        <v>51297</v>
      </c>
      <c r="Q1935" s="235"/>
      <c r="R1935" s="235">
        <v>47296</v>
      </c>
      <c r="S1935" s="236">
        <v>7751.7</v>
      </c>
      <c r="T1935" s="236">
        <v>1070.2</v>
      </c>
      <c r="U1935" s="236"/>
      <c r="V1935" s="235">
        <v>112803</v>
      </c>
      <c r="W1935" s="235">
        <v>45524</v>
      </c>
      <c r="X1935" s="235">
        <v>38706</v>
      </c>
      <c r="Y1935" s="235">
        <v>92778</v>
      </c>
      <c r="Z1935" s="235">
        <v>66621</v>
      </c>
    </row>
    <row r="1936" spans="1:26" ht="18" customHeight="1" x14ac:dyDescent="0.2">
      <c r="A1936" s="279">
        <f t="shared" si="2355"/>
        <v>44787</v>
      </c>
      <c r="B1936" s="278" t="s">
        <v>190</v>
      </c>
      <c r="C1936" s="48">
        <f t="shared" si="2364"/>
        <v>2946</v>
      </c>
      <c r="D1936" s="84">
        <f t="shared" si="2356"/>
        <v>1528</v>
      </c>
      <c r="E1936" s="45">
        <f t="shared" si="2357"/>
        <v>2960</v>
      </c>
      <c r="F1936" s="45">
        <f t="shared" si="2365"/>
        <v>270</v>
      </c>
      <c r="G1936" s="79">
        <f t="shared" si="2366"/>
        <v>7704</v>
      </c>
      <c r="H1936" s="199"/>
      <c r="I1936" s="199"/>
      <c r="J1936" s="200"/>
      <c r="K1936" s="201"/>
      <c r="L1936" s="276"/>
      <c r="M1936" s="276"/>
      <c r="N1936" s="235">
        <v>72450</v>
      </c>
      <c r="O1936" s="235">
        <v>30760</v>
      </c>
      <c r="P1936" s="235">
        <v>51297</v>
      </c>
      <c r="Q1936" s="235"/>
      <c r="R1936" s="235">
        <v>47296</v>
      </c>
      <c r="S1936" s="236">
        <v>7751.7</v>
      </c>
      <c r="T1936" s="236">
        <v>1070.2</v>
      </c>
      <c r="U1936" s="236"/>
      <c r="V1936" s="235">
        <v>112803</v>
      </c>
      <c r="W1936" s="235">
        <v>45524</v>
      </c>
      <c r="X1936" s="235">
        <v>38706</v>
      </c>
      <c r="Y1936" s="235">
        <v>92778</v>
      </c>
      <c r="Z1936" s="235">
        <v>66621</v>
      </c>
    </row>
    <row r="1937" spans="1:26" ht="18" customHeight="1" x14ac:dyDescent="0.2">
      <c r="A1937" s="279">
        <f t="shared" si="2355"/>
        <v>44788</v>
      </c>
      <c r="B1937" s="280" t="s">
        <v>191</v>
      </c>
      <c r="C1937" s="48">
        <f t="shared" si="2364"/>
        <v>2114</v>
      </c>
      <c r="D1937" s="84">
        <f t="shared" si="2356"/>
        <v>1608</v>
      </c>
      <c r="E1937" s="45">
        <f t="shared" si="2357"/>
        <v>1684.0000000000418</v>
      </c>
      <c r="F1937" s="45">
        <f t="shared" si="2365"/>
        <v>103</v>
      </c>
      <c r="G1937" s="79">
        <f t="shared" si="2366"/>
        <v>5509.0000000000418</v>
      </c>
      <c r="H1937" s="199"/>
      <c r="I1937" s="199"/>
      <c r="J1937" s="200"/>
      <c r="K1937" s="201"/>
      <c r="L1937" s="276"/>
      <c r="M1937" s="276"/>
      <c r="N1937" s="235">
        <v>72542</v>
      </c>
      <c r="O1937" s="235">
        <v>30799</v>
      </c>
      <c r="P1937" s="235">
        <v>51396</v>
      </c>
      <c r="Q1937" s="235"/>
      <c r="R1937" s="235">
        <v>47296</v>
      </c>
      <c r="S1937" s="236">
        <v>7781.7</v>
      </c>
      <c r="T1937" s="236">
        <v>1084.2</v>
      </c>
      <c r="U1937" s="236"/>
      <c r="V1937" s="235">
        <v>113457</v>
      </c>
      <c r="W1937" s="235">
        <v>45581</v>
      </c>
      <c r="X1937" s="235">
        <v>38745</v>
      </c>
      <c r="Y1937" s="235">
        <v>92778</v>
      </c>
      <c r="Z1937" s="235">
        <v>66891</v>
      </c>
    </row>
    <row r="1938" spans="1:26" ht="18" customHeight="1" x14ac:dyDescent="0.2">
      <c r="A1938" s="279">
        <f t="shared" si="2355"/>
        <v>44789</v>
      </c>
      <c r="B1938" s="280" t="s">
        <v>192</v>
      </c>
      <c r="C1938" s="48">
        <f t="shared" si="2364"/>
        <v>2491</v>
      </c>
      <c r="D1938" s="84">
        <f t="shared" si="2356"/>
        <v>1640</v>
      </c>
      <c r="E1938" s="45">
        <f t="shared" si="2357"/>
        <v>1707.9999999999745</v>
      </c>
      <c r="F1938" s="45">
        <f t="shared" si="2365"/>
        <v>122</v>
      </c>
      <c r="G1938" s="79">
        <f t="shared" si="2366"/>
        <v>5960.9999999999745</v>
      </c>
      <c r="H1938" s="199"/>
      <c r="I1938" s="199"/>
      <c r="J1938" s="200"/>
      <c r="K1938" s="201"/>
      <c r="L1938" s="276"/>
      <c r="M1938" s="276"/>
      <c r="N1938" s="235">
        <v>72647</v>
      </c>
      <c r="O1938" s="235">
        <v>30840</v>
      </c>
      <c r="P1938" s="235">
        <v>51492</v>
      </c>
      <c r="Q1938" s="235"/>
      <c r="R1938" s="235">
        <v>47296</v>
      </c>
      <c r="S1938" s="236">
        <v>7801.1</v>
      </c>
      <c r="T1938" s="236">
        <v>1087.5</v>
      </c>
      <c r="U1938" s="236"/>
      <c r="V1938" s="235">
        <v>113703</v>
      </c>
      <c r="W1938" s="235">
        <v>45624</v>
      </c>
      <c r="X1938" s="235">
        <v>38786</v>
      </c>
      <c r="Y1938" s="235">
        <v>92778</v>
      </c>
      <c r="Z1938" s="235">
        <v>66994</v>
      </c>
    </row>
    <row r="1939" spans="1:26" ht="18" customHeight="1" x14ac:dyDescent="0.2">
      <c r="A1939" s="279">
        <f t="shared" si="2355"/>
        <v>44790</v>
      </c>
      <c r="B1939" s="280" t="s">
        <v>193</v>
      </c>
      <c r="C1939" s="48">
        <f t="shared" si="2364"/>
        <v>2505</v>
      </c>
      <c r="D1939" s="84">
        <f t="shared" si="2356"/>
        <v>1712</v>
      </c>
      <c r="E1939" s="45">
        <f t="shared" si="2357"/>
        <v>1207.9999999999836</v>
      </c>
      <c r="F1939" s="45">
        <f t="shared" si="2365"/>
        <v>113</v>
      </c>
      <c r="G1939" s="79">
        <f t="shared" si="2366"/>
        <v>5537.9999999999836</v>
      </c>
      <c r="H1939" s="199"/>
      <c r="I1939" s="199"/>
      <c r="J1939" s="200"/>
      <c r="K1939" s="201"/>
      <c r="L1939" s="276"/>
      <c r="M1939" s="276"/>
      <c r="N1939" s="235">
        <v>72760</v>
      </c>
      <c r="O1939" s="235">
        <v>30883</v>
      </c>
      <c r="P1939" s="235">
        <v>51584</v>
      </c>
      <c r="Q1939" s="235"/>
      <c r="R1939" s="235">
        <v>47296</v>
      </c>
      <c r="S1939" s="236">
        <v>7822</v>
      </c>
      <c r="T1939" s="236">
        <v>1088.4000000000001</v>
      </c>
      <c r="U1939" s="236"/>
      <c r="V1939" s="235">
        <v>113950</v>
      </c>
      <c r="W1939" s="235">
        <v>45672</v>
      </c>
      <c r="X1939" s="235">
        <v>38845</v>
      </c>
      <c r="Y1939" s="235">
        <v>92778</v>
      </c>
      <c r="Z1939" s="235">
        <v>67116</v>
      </c>
    </row>
    <row r="1940" spans="1:26" ht="18" customHeight="1" x14ac:dyDescent="0.2">
      <c r="A1940" s="279">
        <f t="shared" si="2355"/>
        <v>44791</v>
      </c>
      <c r="B1940" s="280" t="s">
        <v>194</v>
      </c>
      <c r="C1940" s="295">
        <f>(V1941-V1940)*1+(W1941-W1940)*32+(X1941-X1940)*12+(Y1941-Y1940)*6</f>
        <v>2529</v>
      </c>
      <c r="D1940" s="296">
        <f t="shared" si="2356"/>
        <v>1744</v>
      </c>
      <c r="E1940" s="297">
        <f t="shared" si="2357"/>
        <v>1264.0000000000236</v>
      </c>
      <c r="F1940" s="297">
        <f>(Z1941-Z1940)*1</f>
        <v>109</v>
      </c>
      <c r="G1940" s="298">
        <f>C1940+D1940+F1940+E1940</f>
        <v>5646.0000000000236</v>
      </c>
      <c r="H1940" s="199"/>
      <c r="I1940" s="199"/>
      <c r="J1940" s="200"/>
      <c r="K1940" s="201"/>
      <c r="L1940" s="276"/>
      <c r="M1940" s="276"/>
      <c r="N1940" s="235">
        <v>72879</v>
      </c>
      <c r="O1940" s="235">
        <v>30929</v>
      </c>
      <c r="P1940" s="235">
        <v>51679</v>
      </c>
      <c r="Q1940" s="235"/>
      <c r="R1940" s="235">
        <v>47296</v>
      </c>
      <c r="S1940" s="236">
        <v>7836.7</v>
      </c>
      <c r="T1940" s="236">
        <v>1089.2</v>
      </c>
      <c r="U1940" s="236"/>
      <c r="V1940" s="235">
        <v>114199</v>
      </c>
      <c r="W1940" s="235">
        <v>45720</v>
      </c>
      <c r="X1940" s="235">
        <v>38905</v>
      </c>
      <c r="Y1940" s="235">
        <v>92778</v>
      </c>
      <c r="Z1940" s="235">
        <v>67229</v>
      </c>
    </row>
    <row r="1941" spans="1:26" ht="18" customHeight="1" x14ac:dyDescent="0.2">
      <c r="A1941" s="279">
        <f t="shared" si="2355"/>
        <v>44792</v>
      </c>
      <c r="B1941" s="278" t="s">
        <v>189</v>
      </c>
      <c r="C1941" s="295">
        <f>(V1942-V1941)*1+(W1942-W1941)*32+(X1942-X1941)*12+(Y1942-Y1941)*6</f>
        <v>0</v>
      </c>
      <c r="D1941" s="296">
        <f t="shared" si="2356"/>
        <v>0</v>
      </c>
      <c r="E1941" s="297">
        <f t="shared" si="2357"/>
        <v>0</v>
      </c>
      <c r="F1941" s="297">
        <f>(Z1942-Z1941)*1</f>
        <v>0</v>
      </c>
      <c r="G1941" s="298">
        <f>C1941+D1941+F1941+E1941</f>
        <v>0</v>
      </c>
      <c r="H1941" s="199"/>
      <c r="I1941" s="199"/>
      <c r="J1941" s="200"/>
      <c r="K1941" s="201"/>
      <c r="L1941" s="276"/>
      <c r="M1941" s="276"/>
      <c r="N1941" s="235">
        <v>73000</v>
      </c>
      <c r="O1941" s="235">
        <v>30976</v>
      </c>
      <c r="P1941" s="235">
        <v>51776</v>
      </c>
      <c r="Q1941" s="235"/>
      <c r="R1941" s="235">
        <v>47296</v>
      </c>
      <c r="S1941" s="236">
        <v>7851.3</v>
      </c>
      <c r="T1941" s="236">
        <v>1091.5999999999999</v>
      </c>
      <c r="U1941" s="236"/>
      <c r="V1941" s="235">
        <v>114436</v>
      </c>
      <c r="W1941" s="235">
        <v>45768</v>
      </c>
      <c r="X1941" s="235">
        <v>38968</v>
      </c>
      <c r="Y1941" s="235">
        <v>92778</v>
      </c>
      <c r="Z1941" s="235">
        <v>67338</v>
      </c>
    </row>
    <row r="1942" spans="1:26" ht="18" customHeight="1" x14ac:dyDescent="0.2">
      <c r="A1942" s="279">
        <f t="shared" si="2355"/>
        <v>44793</v>
      </c>
      <c r="B1942" s="279" t="s">
        <v>195</v>
      </c>
      <c r="C1942" s="295">
        <f>(V1943-V1942)*1+(W1943-W1942)*32+(X1943-X1942)*12+(Y1943-Y1942)*6</f>
        <v>0</v>
      </c>
      <c r="D1942" s="296">
        <f t="shared" si="2356"/>
        <v>0</v>
      </c>
      <c r="E1942" s="297">
        <f t="shared" si="2357"/>
        <v>0</v>
      </c>
      <c r="F1942" s="297">
        <f>(Z1943-Z1942)*1</f>
        <v>0</v>
      </c>
      <c r="G1942" s="298">
        <f>C1942+D1942+F1942+E1942</f>
        <v>0</v>
      </c>
      <c r="H1942" s="199"/>
      <c r="I1942" s="199"/>
      <c r="J1942" s="200"/>
      <c r="K1942" s="201"/>
      <c r="L1942" s="276"/>
      <c r="M1942" s="276"/>
      <c r="N1942" s="153">
        <v>73000</v>
      </c>
      <c r="O1942" s="153">
        <v>30976</v>
      </c>
      <c r="P1942" s="153">
        <v>51776</v>
      </c>
      <c r="Q1942" s="153"/>
      <c r="R1942" s="153">
        <v>47296</v>
      </c>
      <c r="S1942" s="154">
        <v>7851.3</v>
      </c>
      <c r="T1942" s="154">
        <v>1091.5999999999999</v>
      </c>
      <c r="U1942" s="154"/>
      <c r="V1942" s="153">
        <v>114436</v>
      </c>
      <c r="W1942" s="153">
        <v>45768</v>
      </c>
      <c r="X1942" s="153">
        <v>38968</v>
      </c>
      <c r="Y1942" s="153">
        <v>92778</v>
      </c>
      <c r="Z1942" s="153">
        <v>67338</v>
      </c>
    </row>
    <row r="1943" spans="1:26" ht="18" customHeight="1" x14ac:dyDescent="0.2">
      <c r="A1943" s="279">
        <f t="shared" si="2355"/>
        <v>44794</v>
      </c>
      <c r="B1943" s="278" t="s">
        <v>190</v>
      </c>
      <c r="C1943" s="295">
        <f>(V1944-V1943)*1+(W1944-W1943)*32+(X1944-X1943)*12+(Y1944-Y1943)*6</f>
        <v>3280</v>
      </c>
      <c r="D1943" s="296">
        <f t="shared" si="2356"/>
        <v>1688</v>
      </c>
      <c r="E1943" s="297">
        <f t="shared" si="2357"/>
        <v>2787.9999999999745</v>
      </c>
      <c r="F1943" s="297">
        <f>(Z1944-Z1943)*1</f>
        <v>347</v>
      </c>
      <c r="G1943" s="298">
        <f>C1943+D1943+F1943+E1943</f>
        <v>8102.9999999999745</v>
      </c>
      <c r="H1943" s="199"/>
      <c r="I1943" s="199"/>
      <c r="J1943" s="200"/>
      <c r="K1943" s="201"/>
      <c r="L1943" s="276"/>
      <c r="M1943" s="276"/>
      <c r="N1943" s="153">
        <v>73000</v>
      </c>
      <c r="O1943" s="153">
        <v>30976</v>
      </c>
      <c r="P1943" s="153">
        <v>51776</v>
      </c>
      <c r="Q1943" s="153"/>
      <c r="R1943" s="153">
        <v>47296</v>
      </c>
      <c r="S1943" s="154">
        <v>7851.3</v>
      </c>
      <c r="T1943" s="154">
        <v>1091.5999999999999</v>
      </c>
      <c r="U1943" s="154"/>
      <c r="V1943" s="153">
        <v>114436</v>
      </c>
      <c r="W1943" s="153">
        <v>45768</v>
      </c>
      <c r="X1943" s="153">
        <v>38968</v>
      </c>
      <c r="Y1943" s="153">
        <v>92778</v>
      </c>
      <c r="Z1943" s="153">
        <v>67338</v>
      </c>
    </row>
    <row r="1944" spans="1:26" ht="18" customHeight="1" x14ac:dyDescent="0.2">
      <c r="A1944" s="279">
        <f t="shared" si="2355"/>
        <v>44795</v>
      </c>
      <c r="B1944" s="280" t="s">
        <v>191</v>
      </c>
      <c r="C1944" s="295">
        <f>(V1945-V1944)*1+(W1945-W1944)*32+(X1945-X1944)*12+(Y1945-Y1944)*6</f>
        <v>2356</v>
      </c>
      <c r="D1944" s="296">
        <f t="shared" si="2356"/>
        <v>1760</v>
      </c>
      <c r="E1944" s="297">
        <f t="shared" si="2357"/>
        <v>1788.0000000000018</v>
      </c>
      <c r="F1944" s="297">
        <f>(Z1945-Z1944)*1</f>
        <v>118</v>
      </c>
      <c r="G1944" s="298">
        <f>C1944+D1944+F1944+E1944</f>
        <v>6022.0000000000018</v>
      </c>
      <c r="H1944" s="199"/>
      <c r="I1944" s="199"/>
      <c r="J1944" s="200"/>
      <c r="K1944" s="201"/>
      <c r="L1944" s="276"/>
      <c r="M1944" s="276"/>
      <c r="N1944" s="235">
        <v>73111</v>
      </c>
      <c r="O1944" s="235">
        <v>31021</v>
      </c>
      <c r="P1944" s="235">
        <v>51876</v>
      </c>
      <c r="Q1944" s="235"/>
      <c r="R1944" s="235">
        <v>47296</v>
      </c>
      <c r="S1944" s="236">
        <v>7882.2</v>
      </c>
      <c r="T1944" s="236">
        <v>1099.5</v>
      </c>
      <c r="U1944" s="236"/>
      <c r="V1944" s="235">
        <v>114980</v>
      </c>
      <c r="W1944" s="235">
        <v>45831</v>
      </c>
      <c r="X1944" s="235">
        <v>39028</v>
      </c>
      <c r="Y1944" s="235">
        <v>92778</v>
      </c>
      <c r="Z1944" s="235">
        <v>67685</v>
      </c>
    </row>
    <row r="1945" spans="1:26" ht="18" customHeight="1" x14ac:dyDescent="0.2">
      <c r="A1945" s="279">
        <f t="shared" si="2355"/>
        <v>44796</v>
      </c>
      <c r="B1945" s="280" t="s">
        <v>192</v>
      </c>
      <c r="C1945" s="295">
        <f t="shared" ref="C1945:C1947" si="2367">(V1946-V1945)*1+(W1946-W1945)*32+(X1946-X1945)*12+(Y1946-Y1945)*6</f>
        <v>2257</v>
      </c>
      <c r="D1945" s="296">
        <f t="shared" si="2356"/>
        <v>1776</v>
      </c>
      <c r="E1945" s="297">
        <f t="shared" si="2357"/>
        <v>1871.9999999999982</v>
      </c>
      <c r="F1945" s="297">
        <f t="shared" ref="F1945:F1947" si="2368">(Z1946-Z1945)*1</f>
        <v>118</v>
      </c>
      <c r="G1945" s="298">
        <f t="shared" ref="G1945:G1947" si="2369">C1945+D1945+F1945+E1945</f>
        <v>6022.9999999999982</v>
      </c>
      <c r="H1945" s="199"/>
      <c r="I1945" s="199"/>
      <c r="J1945" s="200"/>
      <c r="K1945" s="201"/>
      <c r="L1945" s="276"/>
      <c r="M1945" s="276"/>
      <c r="N1945" s="235">
        <v>73228</v>
      </c>
      <c r="O1945" s="235">
        <v>31066</v>
      </c>
      <c r="P1945" s="235">
        <v>51979</v>
      </c>
      <c r="Q1945" s="235"/>
      <c r="R1945" s="235">
        <v>47296</v>
      </c>
      <c r="S1945" s="236">
        <v>7901.7</v>
      </c>
      <c r="T1945" s="236">
        <v>1105.2</v>
      </c>
      <c r="U1945" s="236"/>
      <c r="V1945" s="235">
        <v>115232</v>
      </c>
      <c r="W1945" s="235">
        <v>45875</v>
      </c>
      <c r="X1945" s="235">
        <v>39086</v>
      </c>
      <c r="Y1945" s="235">
        <v>92778</v>
      </c>
      <c r="Z1945" s="235">
        <v>67803</v>
      </c>
    </row>
    <row r="1946" spans="1:26" ht="18" customHeight="1" x14ac:dyDescent="0.2">
      <c r="A1946" s="279">
        <f t="shared" si="2355"/>
        <v>44797</v>
      </c>
      <c r="B1946" s="280" t="s">
        <v>193</v>
      </c>
      <c r="C1946" s="295">
        <f t="shared" si="2367"/>
        <v>2476</v>
      </c>
      <c r="D1946" s="296">
        <f t="shared" si="2356"/>
        <v>1760</v>
      </c>
      <c r="E1946" s="297">
        <f t="shared" si="2357"/>
        <v>1563.9999999999873</v>
      </c>
      <c r="F1946" s="297">
        <f t="shared" si="2368"/>
        <v>128</v>
      </c>
      <c r="G1946" s="298">
        <f t="shared" si="2369"/>
        <v>5927.9999999999873</v>
      </c>
      <c r="H1946" s="199"/>
      <c r="I1946" s="199"/>
      <c r="J1946" s="200"/>
      <c r="K1946" s="201"/>
      <c r="L1946" s="276"/>
      <c r="M1946" s="276"/>
      <c r="N1946" s="235">
        <v>73342</v>
      </c>
      <c r="O1946" s="235">
        <v>31110</v>
      </c>
      <c r="P1946" s="235">
        <v>52087</v>
      </c>
      <c r="Q1946" s="235"/>
      <c r="R1946" s="235">
        <v>47296</v>
      </c>
      <c r="S1946" s="236">
        <v>7923.7</v>
      </c>
      <c r="T1946" s="236">
        <v>1108</v>
      </c>
      <c r="U1946" s="236"/>
      <c r="V1946" s="235">
        <v>115481</v>
      </c>
      <c r="W1946" s="235">
        <v>45919</v>
      </c>
      <c r="X1946" s="235">
        <v>39136</v>
      </c>
      <c r="Y1946" s="235">
        <v>92778</v>
      </c>
      <c r="Z1946" s="235">
        <v>67921</v>
      </c>
    </row>
    <row r="1947" spans="1:26" ht="18" customHeight="1" x14ac:dyDescent="0.2">
      <c r="A1947" s="279">
        <f t="shared" si="2355"/>
        <v>44798</v>
      </c>
      <c r="B1947" s="280" t="s">
        <v>194</v>
      </c>
      <c r="C1947" s="295">
        <f t="shared" si="2367"/>
        <v>2381</v>
      </c>
      <c r="D1947" s="296">
        <f t="shared" si="2356"/>
        <v>1776</v>
      </c>
      <c r="E1947" s="297">
        <f t="shared" si="2357"/>
        <v>1435.9999999999945</v>
      </c>
      <c r="F1947" s="297">
        <f t="shared" si="2368"/>
        <v>102</v>
      </c>
      <c r="G1947" s="298">
        <f t="shared" si="2369"/>
        <v>5694.9999999999945</v>
      </c>
      <c r="H1947" s="199"/>
      <c r="I1947" s="199"/>
      <c r="J1947" s="200"/>
      <c r="K1947" s="201"/>
      <c r="L1947" s="276"/>
      <c r="M1947" s="276"/>
      <c r="N1947" s="235">
        <v>73454</v>
      </c>
      <c r="O1947" s="235">
        <v>31153</v>
      </c>
      <c r="P1947" s="235">
        <v>52195</v>
      </c>
      <c r="Q1947" s="235"/>
      <c r="R1947" s="235">
        <v>47296</v>
      </c>
      <c r="S1947" s="236">
        <v>7941.9</v>
      </c>
      <c r="T1947" s="236">
        <v>1110.7</v>
      </c>
      <c r="U1947" s="236"/>
      <c r="V1947" s="235">
        <v>115793</v>
      </c>
      <c r="W1947" s="235">
        <v>45966</v>
      </c>
      <c r="X1947" s="235">
        <v>39191</v>
      </c>
      <c r="Y1947" s="235">
        <v>92778</v>
      </c>
      <c r="Z1947" s="235">
        <v>68049</v>
      </c>
    </row>
    <row r="1948" spans="1:26" ht="18" customHeight="1" x14ac:dyDescent="0.2">
      <c r="A1948" s="279">
        <f t="shared" si="2355"/>
        <v>44799</v>
      </c>
      <c r="B1948" s="278" t="s">
        <v>189</v>
      </c>
      <c r="C1948" s="295">
        <f t="shared" ref="C1948:C1950" si="2370">(V1949-V1948)*1+(W1949-W1948)*32+(X1949-X1948)*12+(Y1949-Y1948)*6</f>
        <v>0</v>
      </c>
      <c r="D1948" s="296">
        <f t="shared" si="2356"/>
        <v>0</v>
      </c>
      <c r="E1948" s="297">
        <f t="shared" si="2357"/>
        <v>0</v>
      </c>
      <c r="F1948" s="297">
        <f t="shared" ref="F1948:F1950" si="2371">(Z1949-Z1948)*1</f>
        <v>0</v>
      </c>
      <c r="G1948" s="298">
        <f t="shared" ref="G1948:G1950" si="2372">C1948+D1948+F1948+E1948</f>
        <v>0</v>
      </c>
      <c r="H1948" s="199"/>
      <c r="I1948" s="199"/>
      <c r="J1948" s="200"/>
      <c r="K1948" s="201"/>
      <c r="L1948" s="276"/>
      <c r="M1948" s="276"/>
      <c r="N1948" s="235">
        <v>73567</v>
      </c>
      <c r="O1948" s="235">
        <v>31196</v>
      </c>
      <c r="P1948" s="235">
        <v>52304</v>
      </c>
      <c r="Q1948" s="235"/>
      <c r="R1948" s="235">
        <v>47296</v>
      </c>
      <c r="S1948" s="236">
        <v>7959.4</v>
      </c>
      <c r="T1948" s="236">
        <v>1111.5999999999999</v>
      </c>
      <c r="U1948" s="236"/>
      <c r="V1948" s="235">
        <v>115974</v>
      </c>
      <c r="W1948" s="235">
        <v>46013</v>
      </c>
      <c r="X1948" s="235">
        <v>39249</v>
      </c>
      <c r="Y1948" s="235">
        <v>92778</v>
      </c>
      <c r="Z1948" s="235">
        <v>68151</v>
      </c>
    </row>
    <row r="1949" spans="1:26" ht="18" customHeight="1" x14ac:dyDescent="0.2">
      <c r="A1949" s="279">
        <f t="shared" si="2355"/>
        <v>44800</v>
      </c>
      <c r="B1949" s="279" t="s">
        <v>195</v>
      </c>
      <c r="C1949" s="295">
        <f t="shared" si="2370"/>
        <v>0</v>
      </c>
      <c r="D1949" s="296">
        <f t="shared" si="2356"/>
        <v>0</v>
      </c>
      <c r="E1949" s="297">
        <f t="shared" si="2357"/>
        <v>0</v>
      </c>
      <c r="F1949" s="297">
        <f t="shared" si="2371"/>
        <v>0</v>
      </c>
      <c r="G1949" s="298">
        <f t="shared" si="2372"/>
        <v>0</v>
      </c>
      <c r="H1949" s="199"/>
      <c r="I1949" s="199"/>
      <c r="J1949" s="200"/>
      <c r="K1949" s="201"/>
      <c r="L1949" s="276"/>
      <c r="M1949" s="276"/>
      <c r="N1949" s="153">
        <v>73567</v>
      </c>
      <c r="O1949" s="153">
        <v>31196</v>
      </c>
      <c r="P1949" s="153">
        <v>52304</v>
      </c>
      <c r="Q1949" s="153"/>
      <c r="R1949" s="153">
        <v>47296</v>
      </c>
      <c r="S1949" s="154">
        <v>7959.4</v>
      </c>
      <c r="T1949" s="154">
        <v>1111.5999999999999</v>
      </c>
      <c r="U1949" s="154"/>
      <c r="V1949" s="153">
        <v>115974</v>
      </c>
      <c r="W1949" s="153">
        <v>46013</v>
      </c>
      <c r="X1949" s="153">
        <v>39249</v>
      </c>
      <c r="Y1949" s="153">
        <v>92778</v>
      </c>
      <c r="Z1949" s="153">
        <v>68151</v>
      </c>
    </row>
    <row r="1950" spans="1:26" ht="18" customHeight="1" x14ac:dyDescent="0.2">
      <c r="A1950" s="279">
        <f t="shared" si="2355"/>
        <v>44801</v>
      </c>
      <c r="B1950" s="278" t="s">
        <v>190</v>
      </c>
      <c r="C1950" s="295">
        <f t="shared" si="2370"/>
        <v>2642</v>
      </c>
      <c r="D1950" s="296">
        <f t="shared" si="2356"/>
        <v>1720</v>
      </c>
      <c r="E1950" s="297">
        <f t="shared" si="2357"/>
        <v>2308.0000000000291</v>
      </c>
      <c r="F1950" s="297">
        <f t="shared" si="2371"/>
        <v>357</v>
      </c>
      <c r="G1950" s="298">
        <f t="shared" si="2372"/>
        <v>7027.0000000000291</v>
      </c>
      <c r="H1950" s="199"/>
      <c r="I1950" s="199"/>
      <c r="J1950" s="200"/>
      <c r="K1950" s="201"/>
      <c r="L1950" s="276"/>
      <c r="M1950" s="276"/>
      <c r="N1950" s="153">
        <v>73567</v>
      </c>
      <c r="O1950" s="153">
        <v>31196</v>
      </c>
      <c r="P1950" s="153">
        <v>52304</v>
      </c>
      <c r="Q1950" s="153"/>
      <c r="R1950" s="153">
        <v>47296</v>
      </c>
      <c r="S1950" s="154">
        <v>7959.4</v>
      </c>
      <c r="T1950" s="154">
        <v>1111.5999999999999</v>
      </c>
      <c r="U1950" s="154"/>
      <c r="V1950" s="153">
        <v>115974</v>
      </c>
      <c r="W1950" s="153">
        <v>46013</v>
      </c>
      <c r="X1950" s="153">
        <v>39249</v>
      </c>
      <c r="Y1950" s="153">
        <v>92778</v>
      </c>
      <c r="Z1950" s="153">
        <v>68151</v>
      </c>
    </row>
    <row r="1951" spans="1:26" ht="18" customHeight="1" x14ac:dyDescent="0.2">
      <c r="A1951" s="279">
        <f t="shared" si="2355"/>
        <v>44802</v>
      </c>
      <c r="B1951" s="280" t="s">
        <v>191</v>
      </c>
      <c r="C1951" s="295">
        <f t="shared" ref="C1951:C1959" si="2373">(V1952-V1951)*1+(W1952-W1951)*32+(X1952-X1951)*12+(Y1952-Y1951)*6</f>
        <v>2510</v>
      </c>
      <c r="D1951" s="296">
        <f t="shared" si="2356"/>
        <v>1736</v>
      </c>
      <c r="E1951" s="297">
        <f t="shared" si="2357"/>
        <v>1715.9999999999764</v>
      </c>
      <c r="F1951" s="297">
        <f t="shared" ref="F1951:F1959" si="2374">(Z1952-Z1951)*1</f>
        <v>97</v>
      </c>
      <c r="G1951" s="298">
        <f t="shared" ref="G1951:G1959" si="2375">C1951+D1951+F1951+E1951</f>
        <v>6058.9999999999764</v>
      </c>
      <c r="H1951" s="199"/>
      <c r="I1951" s="199"/>
      <c r="J1951" s="200"/>
      <c r="K1951" s="201"/>
      <c r="L1951" s="276"/>
      <c r="M1951" s="276"/>
      <c r="N1951" s="235">
        <v>73671</v>
      </c>
      <c r="O1951" s="235">
        <v>31239</v>
      </c>
      <c r="P1951" s="235">
        <v>52415</v>
      </c>
      <c r="Q1951" s="235"/>
      <c r="R1951" s="235">
        <v>47296</v>
      </c>
      <c r="S1951" s="236">
        <v>7987.5</v>
      </c>
      <c r="T1951" s="236">
        <v>1113.0999999999999</v>
      </c>
      <c r="U1951" s="236"/>
      <c r="V1951" s="235">
        <v>116528</v>
      </c>
      <c r="W1951" s="235">
        <v>46067</v>
      </c>
      <c r="X1951" s="235">
        <v>39279</v>
      </c>
      <c r="Y1951" s="235">
        <v>92778</v>
      </c>
      <c r="Z1951" s="235">
        <v>68508</v>
      </c>
    </row>
    <row r="1952" spans="1:26" ht="18" customHeight="1" x14ac:dyDescent="0.2">
      <c r="A1952" s="279">
        <f t="shared" si="2355"/>
        <v>44803</v>
      </c>
      <c r="B1952" s="280" t="s">
        <v>192</v>
      </c>
      <c r="C1952" s="295">
        <f t="shared" si="2373"/>
        <v>2460</v>
      </c>
      <c r="D1952" s="296">
        <f t="shared" si="2356"/>
        <v>1760</v>
      </c>
      <c r="E1952" s="297">
        <f t="shared" si="2357"/>
        <v>1931.9999999999982</v>
      </c>
      <c r="F1952" s="297">
        <f t="shared" si="2374"/>
        <v>88</v>
      </c>
      <c r="G1952" s="298">
        <f t="shared" si="2375"/>
        <v>6239.9999999999982</v>
      </c>
      <c r="H1952" s="199"/>
      <c r="I1952" s="199"/>
      <c r="J1952" s="200"/>
      <c r="K1952" s="201"/>
      <c r="L1952" s="276"/>
      <c r="M1952" s="276"/>
      <c r="N1952" s="235">
        <v>73782</v>
      </c>
      <c r="O1952" s="235">
        <v>31281</v>
      </c>
      <c r="P1952" s="235">
        <v>52521</v>
      </c>
      <c r="Q1952" s="235"/>
      <c r="R1952" s="235">
        <v>47296</v>
      </c>
      <c r="S1952" s="236">
        <v>8007.9</v>
      </c>
      <c r="T1952" s="236">
        <v>1115.2</v>
      </c>
      <c r="U1952" s="236"/>
      <c r="V1952" s="235">
        <v>116774</v>
      </c>
      <c r="W1952" s="235">
        <v>46116</v>
      </c>
      <c r="X1952" s="235">
        <v>39337</v>
      </c>
      <c r="Y1952" s="235">
        <v>92778</v>
      </c>
      <c r="Z1952" s="235">
        <v>68605</v>
      </c>
    </row>
    <row r="1953" spans="1:26" ht="18" customHeight="1" x14ac:dyDescent="0.2">
      <c r="A1953" s="279">
        <f t="shared" si="2355"/>
        <v>44804</v>
      </c>
      <c r="B1953" s="280" t="s">
        <v>193</v>
      </c>
      <c r="C1953" s="295">
        <f t="shared" si="2373"/>
        <v>2166</v>
      </c>
      <c r="D1953" s="296">
        <f t="shared" si="2356"/>
        <v>1816</v>
      </c>
      <c r="E1953" s="297">
        <f t="shared" si="2357"/>
        <v>1980.0000000000273</v>
      </c>
      <c r="F1953" s="297">
        <f t="shared" si="2374"/>
        <v>109</v>
      </c>
      <c r="G1953" s="298">
        <f t="shared" si="2375"/>
        <v>6071.0000000000273</v>
      </c>
      <c r="H1953" s="199"/>
      <c r="I1953" s="199"/>
      <c r="J1953" s="200"/>
      <c r="K1953" s="201"/>
      <c r="L1953" s="276"/>
      <c r="M1953" s="276"/>
      <c r="N1953" s="235">
        <v>73895</v>
      </c>
      <c r="O1953" s="235">
        <v>31324</v>
      </c>
      <c r="P1953" s="235">
        <v>52628</v>
      </c>
      <c r="Q1953" s="235"/>
      <c r="R1953" s="235">
        <v>47296</v>
      </c>
      <c r="S1953" s="236">
        <v>8030.9</v>
      </c>
      <c r="T1953" s="236">
        <v>1117.5</v>
      </c>
      <c r="U1953" s="236"/>
      <c r="V1953" s="235">
        <v>117022</v>
      </c>
      <c r="W1953" s="235">
        <v>46163</v>
      </c>
      <c r="X1953" s="235">
        <v>39396</v>
      </c>
      <c r="Y1953" s="235">
        <v>92778</v>
      </c>
      <c r="Z1953" s="235">
        <v>68693</v>
      </c>
    </row>
    <row r="1954" spans="1:26" ht="18" customHeight="1" x14ac:dyDescent="0.2">
      <c r="A1954" s="279">
        <f t="shared" si="2355"/>
        <v>44805</v>
      </c>
      <c r="B1954" s="280" t="s">
        <v>194</v>
      </c>
      <c r="C1954" s="295">
        <f t="shared" si="2373"/>
        <v>1796</v>
      </c>
      <c r="D1954" s="296">
        <f t="shared" si="2356"/>
        <v>1864</v>
      </c>
      <c r="E1954" s="297">
        <f t="shared" si="2357"/>
        <v>1988.0000000000018</v>
      </c>
      <c r="F1954" s="297">
        <f t="shared" si="2374"/>
        <v>70</v>
      </c>
      <c r="G1954" s="298">
        <f t="shared" si="2375"/>
        <v>5718.0000000000018</v>
      </c>
      <c r="H1954" s="199"/>
      <c r="I1954" s="199"/>
      <c r="J1954" s="200"/>
      <c r="K1954" s="201"/>
      <c r="L1954" s="276"/>
      <c r="M1954" s="276"/>
      <c r="N1954" s="235">
        <v>74011</v>
      </c>
      <c r="O1954" s="235">
        <v>31370</v>
      </c>
      <c r="P1954" s="235">
        <v>52739</v>
      </c>
      <c r="Q1954" s="235"/>
      <c r="R1954" s="235">
        <v>47296</v>
      </c>
      <c r="S1954" s="236">
        <v>8054.5</v>
      </c>
      <c r="T1954" s="236">
        <v>1119.8</v>
      </c>
      <c r="U1954" s="236"/>
      <c r="V1954" s="235">
        <v>117256</v>
      </c>
      <c r="W1954" s="235">
        <v>46205</v>
      </c>
      <c r="X1954" s="235">
        <v>39445</v>
      </c>
      <c r="Y1954" s="235">
        <v>92778</v>
      </c>
      <c r="Z1954" s="235">
        <v>68802</v>
      </c>
    </row>
    <row r="1955" spans="1:26" ht="18" customHeight="1" x14ac:dyDescent="0.2">
      <c r="A1955" s="279">
        <f t="shared" si="2355"/>
        <v>44806</v>
      </c>
      <c r="B1955" s="278" t="s">
        <v>189</v>
      </c>
      <c r="C1955" s="295">
        <f t="shared" si="2373"/>
        <v>0</v>
      </c>
      <c r="D1955" s="296">
        <f t="shared" si="2356"/>
        <v>0</v>
      </c>
      <c r="E1955" s="297">
        <f t="shared" si="2357"/>
        <v>0</v>
      </c>
      <c r="F1955" s="297">
        <f t="shared" si="2374"/>
        <v>0</v>
      </c>
      <c r="G1955" s="298">
        <f t="shared" si="2375"/>
        <v>0</v>
      </c>
      <c r="H1955" s="199"/>
      <c r="I1955" s="199"/>
      <c r="J1955" s="200"/>
      <c r="K1955" s="201"/>
      <c r="L1955" s="276"/>
      <c r="M1955" s="276"/>
      <c r="N1955" s="235">
        <v>74131</v>
      </c>
      <c r="O1955" s="235">
        <v>31417</v>
      </c>
      <c r="P1955" s="235">
        <v>52852</v>
      </c>
      <c r="Q1955" s="235"/>
      <c r="R1955" s="235">
        <v>47296</v>
      </c>
      <c r="S1955" s="236">
        <v>8079</v>
      </c>
      <c r="T1955" s="236">
        <v>1120.5</v>
      </c>
      <c r="U1955" s="236"/>
      <c r="V1955" s="235">
        <v>117452</v>
      </c>
      <c r="W1955" s="235">
        <v>46240</v>
      </c>
      <c r="X1955" s="235">
        <v>39485</v>
      </c>
      <c r="Y1955" s="235">
        <v>92778</v>
      </c>
      <c r="Z1955" s="235">
        <v>68872</v>
      </c>
    </row>
    <row r="1956" spans="1:26" ht="18" customHeight="1" x14ac:dyDescent="0.2">
      <c r="A1956" s="279">
        <f t="shared" si="2355"/>
        <v>44807</v>
      </c>
      <c r="B1956" s="279" t="s">
        <v>195</v>
      </c>
      <c r="C1956" s="295">
        <f t="shared" si="2373"/>
        <v>0</v>
      </c>
      <c r="D1956" s="296">
        <f t="shared" si="2356"/>
        <v>0</v>
      </c>
      <c r="E1956" s="297">
        <f t="shared" si="2357"/>
        <v>0</v>
      </c>
      <c r="F1956" s="297">
        <f t="shared" si="2374"/>
        <v>0</v>
      </c>
      <c r="G1956" s="298">
        <f t="shared" si="2375"/>
        <v>0</v>
      </c>
      <c r="H1956" s="199"/>
      <c r="I1956" s="199"/>
      <c r="J1956" s="200"/>
      <c r="K1956" s="201"/>
      <c r="L1956" s="276"/>
      <c r="M1956" s="276"/>
      <c r="N1956" s="153">
        <v>74131</v>
      </c>
      <c r="O1956" s="153">
        <v>31417</v>
      </c>
      <c r="P1956" s="153">
        <v>52852</v>
      </c>
      <c r="Q1956" s="153"/>
      <c r="R1956" s="153">
        <v>47296</v>
      </c>
      <c r="S1956" s="154">
        <v>8079</v>
      </c>
      <c r="T1956" s="154">
        <v>1120.5</v>
      </c>
      <c r="U1956" s="154"/>
      <c r="V1956" s="153">
        <v>117452</v>
      </c>
      <c r="W1956" s="153">
        <v>46240</v>
      </c>
      <c r="X1956" s="153">
        <v>39485</v>
      </c>
      <c r="Y1956" s="153">
        <v>92778</v>
      </c>
      <c r="Z1956" s="153">
        <v>68872</v>
      </c>
    </row>
    <row r="1957" spans="1:26" ht="18" customHeight="1" x14ac:dyDescent="0.2">
      <c r="A1957" s="279">
        <f t="shared" si="2355"/>
        <v>44808</v>
      </c>
      <c r="B1957" s="278" t="s">
        <v>190</v>
      </c>
      <c r="C1957" s="295">
        <f t="shared" si="2373"/>
        <v>2391</v>
      </c>
      <c r="D1957" s="296">
        <f t="shared" si="2356"/>
        <v>1832</v>
      </c>
      <c r="E1957" s="297">
        <f t="shared" si="2357"/>
        <v>3772.0000000000255</v>
      </c>
      <c r="F1957" s="297">
        <f t="shared" si="2374"/>
        <v>226</v>
      </c>
      <c r="G1957" s="298">
        <f t="shared" si="2375"/>
        <v>8221.0000000000255</v>
      </c>
      <c r="H1957" s="199"/>
      <c r="I1957" s="199"/>
      <c r="J1957" s="200"/>
      <c r="K1957" s="201"/>
      <c r="L1957" s="276"/>
      <c r="M1957" s="276"/>
      <c r="N1957" s="153">
        <v>74131</v>
      </c>
      <c r="O1957" s="153">
        <v>31417</v>
      </c>
      <c r="P1957" s="153">
        <v>52852</v>
      </c>
      <c r="Q1957" s="153"/>
      <c r="R1957" s="153">
        <v>47296</v>
      </c>
      <c r="S1957" s="154">
        <v>8079</v>
      </c>
      <c r="T1957" s="154">
        <v>1120.5</v>
      </c>
      <c r="U1957" s="154"/>
      <c r="V1957" s="153">
        <v>117452</v>
      </c>
      <c r="W1957" s="153">
        <v>46240</v>
      </c>
      <c r="X1957" s="153">
        <v>39485</v>
      </c>
      <c r="Y1957" s="153">
        <v>92778</v>
      </c>
      <c r="Z1957" s="153">
        <v>68872</v>
      </c>
    </row>
    <row r="1958" spans="1:26" ht="18" customHeight="1" x14ac:dyDescent="0.2">
      <c r="A1958" s="279">
        <f t="shared" si="2355"/>
        <v>44809</v>
      </c>
      <c r="B1958" s="280" t="s">
        <v>191</v>
      </c>
      <c r="C1958" s="295">
        <f t="shared" si="2373"/>
        <v>2415</v>
      </c>
      <c r="D1958" s="296">
        <f t="shared" si="2356"/>
        <v>1848</v>
      </c>
      <c r="E1958" s="297">
        <f t="shared" si="2357"/>
        <v>1807.9999999999745</v>
      </c>
      <c r="F1958" s="297">
        <f t="shared" si="2374"/>
        <v>79</v>
      </c>
      <c r="G1958" s="298">
        <f t="shared" si="2375"/>
        <v>6149.9999999999745</v>
      </c>
      <c r="H1958" s="199"/>
      <c r="I1958" s="199"/>
      <c r="J1958" s="200"/>
      <c r="K1958" s="201"/>
      <c r="L1958" s="276"/>
      <c r="M1958" s="276"/>
      <c r="N1958" s="235">
        <v>74246</v>
      </c>
      <c r="O1958" s="235">
        <v>31464</v>
      </c>
      <c r="P1958" s="235">
        <v>52966</v>
      </c>
      <c r="Q1958" s="235"/>
      <c r="R1958" s="235">
        <v>47296</v>
      </c>
      <c r="S1958" s="236">
        <v>8125.1</v>
      </c>
      <c r="T1958" s="236">
        <v>1122.5999999999999</v>
      </c>
      <c r="U1958" s="236"/>
      <c r="V1958" s="235">
        <v>117943</v>
      </c>
      <c r="W1958" s="235">
        <v>46287</v>
      </c>
      <c r="X1958" s="235">
        <v>39518</v>
      </c>
      <c r="Y1958" s="235">
        <v>92778</v>
      </c>
      <c r="Z1958" s="235">
        <v>69098</v>
      </c>
    </row>
    <row r="1959" spans="1:26" ht="18" customHeight="1" x14ac:dyDescent="0.2">
      <c r="A1959" s="279">
        <f t="shared" si="2355"/>
        <v>44810</v>
      </c>
      <c r="B1959" s="280" t="s">
        <v>192</v>
      </c>
      <c r="C1959" s="295">
        <f t="shared" si="2373"/>
        <v>2486</v>
      </c>
      <c r="D1959" s="296">
        <f t="shared" si="2356"/>
        <v>1856</v>
      </c>
      <c r="E1959" s="297">
        <f t="shared" si="2357"/>
        <v>1931.9999999999982</v>
      </c>
      <c r="F1959" s="297">
        <f t="shared" si="2374"/>
        <v>73</v>
      </c>
      <c r="G1959" s="298">
        <f t="shared" si="2375"/>
        <v>6346.9999999999982</v>
      </c>
      <c r="H1959" s="199"/>
      <c r="I1959" s="199"/>
      <c r="J1959" s="200"/>
      <c r="K1959" s="201"/>
      <c r="L1959" s="276"/>
      <c r="M1959" s="276"/>
      <c r="N1959" s="235">
        <v>74363</v>
      </c>
      <c r="O1959" s="235">
        <v>31508</v>
      </c>
      <c r="P1959" s="235">
        <v>53080</v>
      </c>
      <c r="Q1959" s="235"/>
      <c r="R1959" s="235">
        <v>47296</v>
      </c>
      <c r="S1959" s="236">
        <v>8147</v>
      </c>
      <c r="T1959" s="236">
        <v>1124</v>
      </c>
      <c r="U1959" s="236"/>
      <c r="V1959" s="235">
        <v>118166</v>
      </c>
      <c r="W1959" s="235">
        <v>46336</v>
      </c>
      <c r="X1959" s="235">
        <v>39570</v>
      </c>
      <c r="Y1959" s="235">
        <v>92778</v>
      </c>
      <c r="Z1959" s="235">
        <v>69177</v>
      </c>
    </row>
    <row r="1960" spans="1:26" ht="18" customHeight="1" x14ac:dyDescent="0.2">
      <c r="A1960" s="279">
        <f t="shared" ref="A1960:A2023" si="2376">A1959+1</f>
        <v>44811</v>
      </c>
      <c r="B1960" s="280" t="s">
        <v>193</v>
      </c>
      <c r="C1960" s="295">
        <f t="shared" ref="C1960:C1964" si="2377">(V1961-V1960)*1+(W1961-W1960)*32+(X1961-X1960)*12+(Y1961-Y1960)*6</f>
        <v>1977</v>
      </c>
      <c r="D1960" s="296">
        <f t="shared" si="2356"/>
        <v>1840</v>
      </c>
      <c r="E1960" s="297">
        <f t="shared" si="2357"/>
        <v>1804.0000000000327</v>
      </c>
      <c r="F1960" s="297">
        <f t="shared" ref="F1960:F1964" si="2378">(Z1961-Z1960)*1</f>
        <v>73</v>
      </c>
      <c r="G1960" s="298">
        <f t="shared" ref="G1960:G1964" si="2379">C1960+D1960+F1960+E1960</f>
        <v>5694.0000000000327</v>
      </c>
      <c r="H1960" s="199"/>
      <c r="I1960" s="199"/>
      <c r="J1960" s="200"/>
      <c r="K1960" s="201"/>
      <c r="L1960" s="276"/>
      <c r="M1960" s="276"/>
      <c r="N1960" s="235">
        <v>74481</v>
      </c>
      <c r="O1960" s="235">
        <v>31554</v>
      </c>
      <c r="P1960" s="235">
        <v>53194</v>
      </c>
      <c r="Q1960" s="235"/>
      <c r="R1960" s="235">
        <v>47296</v>
      </c>
      <c r="S1960" s="236">
        <v>8170.5</v>
      </c>
      <c r="T1960" s="236">
        <v>1125.3</v>
      </c>
      <c r="U1960" s="236"/>
      <c r="V1960" s="235">
        <v>118372</v>
      </c>
      <c r="W1960" s="235">
        <v>46381</v>
      </c>
      <c r="X1960" s="235">
        <v>39640</v>
      </c>
      <c r="Y1960" s="235">
        <v>92778</v>
      </c>
      <c r="Z1960" s="235">
        <v>69250</v>
      </c>
    </row>
    <row r="1961" spans="1:26" ht="18" customHeight="1" x14ac:dyDescent="0.2">
      <c r="A1961" s="279">
        <f t="shared" si="2376"/>
        <v>44812</v>
      </c>
      <c r="B1961" s="280" t="s">
        <v>194</v>
      </c>
      <c r="C1961" s="295">
        <f t="shared" si="2377"/>
        <v>0</v>
      </c>
      <c r="D1961" s="296">
        <f t="shared" si="2356"/>
        <v>0</v>
      </c>
      <c r="E1961" s="297">
        <f t="shared" si="2357"/>
        <v>0</v>
      </c>
      <c r="F1961" s="297">
        <f t="shared" si="2378"/>
        <v>0</v>
      </c>
      <c r="G1961" s="298">
        <f t="shared" si="2379"/>
        <v>0</v>
      </c>
      <c r="H1961" s="199"/>
      <c r="I1961" s="199"/>
      <c r="J1961" s="200"/>
      <c r="K1961" s="201"/>
      <c r="L1961" s="276"/>
      <c r="M1961" s="276"/>
      <c r="N1961" s="235">
        <v>74599</v>
      </c>
      <c r="O1961" s="235">
        <v>31599</v>
      </c>
      <c r="P1961" s="235">
        <v>53306</v>
      </c>
      <c r="Q1961" s="235"/>
      <c r="R1961" s="235">
        <v>47296</v>
      </c>
      <c r="S1961" s="236">
        <v>8192.6</v>
      </c>
      <c r="T1961" s="236">
        <v>1126.2</v>
      </c>
      <c r="U1961" s="236"/>
      <c r="V1961" s="235">
        <v>118565</v>
      </c>
      <c r="W1961" s="235">
        <v>46418</v>
      </c>
      <c r="X1961" s="235">
        <v>39690</v>
      </c>
      <c r="Y1961" s="235">
        <v>92778</v>
      </c>
      <c r="Z1961" s="235">
        <v>69323</v>
      </c>
    </row>
    <row r="1962" spans="1:26" ht="18" customHeight="1" x14ac:dyDescent="0.2">
      <c r="A1962" s="279">
        <f t="shared" si="2376"/>
        <v>44813</v>
      </c>
      <c r="B1962" s="278" t="s">
        <v>189</v>
      </c>
      <c r="C1962" s="295">
        <f t="shared" si="2377"/>
        <v>0</v>
      </c>
      <c r="D1962" s="296">
        <f t="shared" si="2356"/>
        <v>0</v>
      </c>
      <c r="E1962" s="297">
        <f t="shared" si="2357"/>
        <v>0</v>
      </c>
      <c r="F1962" s="297">
        <f t="shared" si="2378"/>
        <v>0</v>
      </c>
      <c r="G1962" s="298">
        <f t="shared" si="2379"/>
        <v>0</v>
      </c>
      <c r="H1962" s="199"/>
      <c r="I1962" s="199"/>
      <c r="J1962" s="200"/>
      <c r="K1962" s="201"/>
      <c r="L1962" s="276"/>
      <c r="M1962" s="276"/>
      <c r="N1962" s="288">
        <v>74599</v>
      </c>
      <c r="O1962" s="288">
        <v>31599</v>
      </c>
      <c r="P1962" s="288">
        <v>53306</v>
      </c>
      <c r="Q1962" s="288"/>
      <c r="R1962" s="288">
        <v>47296</v>
      </c>
      <c r="S1962" s="289">
        <v>8192.6</v>
      </c>
      <c r="T1962" s="289">
        <v>1126.2</v>
      </c>
      <c r="U1962" s="289"/>
      <c r="V1962" s="288">
        <v>118565</v>
      </c>
      <c r="W1962" s="288">
        <v>46418</v>
      </c>
      <c r="X1962" s="288">
        <v>39690</v>
      </c>
      <c r="Y1962" s="288">
        <v>92778</v>
      </c>
      <c r="Z1962" s="288">
        <v>69323</v>
      </c>
    </row>
    <row r="1963" spans="1:26" ht="18" customHeight="1" x14ac:dyDescent="0.2">
      <c r="A1963" s="279">
        <f t="shared" si="2376"/>
        <v>44814</v>
      </c>
      <c r="B1963" s="279" t="s">
        <v>195</v>
      </c>
      <c r="C1963" s="295">
        <f t="shared" si="2377"/>
        <v>0</v>
      </c>
      <c r="D1963" s="296">
        <f t="shared" si="2356"/>
        <v>0</v>
      </c>
      <c r="E1963" s="297">
        <f t="shared" si="2357"/>
        <v>0</v>
      </c>
      <c r="F1963" s="297">
        <f t="shared" si="2378"/>
        <v>0</v>
      </c>
      <c r="G1963" s="298">
        <f t="shared" si="2379"/>
        <v>0</v>
      </c>
      <c r="H1963" s="199"/>
      <c r="I1963" s="199"/>
      <c r="J1963" s="200"/>
      <c r="K1963" s="201"/>
      <c r="L1963" s="276"/>
      <c r="M1963" s="276"/>
      <c r="N1963" s="288">
        <v>74599</v>
      </c>
      <c r="O1963" s="288">
        <v>31599</v>
      </c>
      <c r="P1963" s="288">
        <v>53306</v>
      </c>
      <c r="Q1963" s="288"/>
      <c r="R1963" s="288">
        <v>47296</v>
      </c>
      <c r="S1963" s="289">
        <v>8192.6</v>
      </c>
      <c r="T1963" s="289">
        <v>1126.2</v>
      </c>
      <c r="U1963" s="289"/>
      <c r="V1963" s="288">
        <v>118565</v>
      </c>
      <c r="W1963" s="288">
        <v>46418</v>
      </c>
      <c r="X1963" s="288">
        <v>39690</v>
      </c>
      <c r="Y1963" s="288">
        <v>92778</v>
      </c>
      <c r="Z1963" s="288">
        <v>69323</v>
      </c>
    </row>
    <row r="1964" spans="1:26" ht="18" customHeight="1" x14ac:dyDescent="0.2">
      <c r="A1964" s="279">
        <f t="shared" si="2376"/>
        <v>44815</v>
      </c>
      <c r="B1964" s="278" t="s">
        <v>190</v>
      </c>
      <c r="C1964" s="295">
        <f t="shared" si="2377"/>
        <v>2722</v>
      </c>
      <c r="D1964" s="296">
        <f t="shared" si="2356"/>
        <v>1824</v>
      </c>
      <c r="E1964" s="297">
        <f t="shared" si="2357"/>
        <v>2416.0000000000309</v>
      </c>
      <c r="F1964" s="297">
        <f t="shared" si="2378"/>
        <v>314</v>
      </c>
      <c r="G1964" s="298">
        <f t="shared" si="2379"/>
        <v>7276.0000000000309</v>
      </c>
      <c r="H1964" s="199"/>
      <c r="I1964" s="199"/>
      <c r="J1964" s="200"/>
      <c r="K1964" s="201"/>
      <c r="L1964" s="276"/>
      <c r="M1964" s="276"/>
      <c r="N1964" s="288">
        <v>74599</v>
      </c>
      <c r="O1964" s="288">
        <v>31599</v>
      </c>
      <c r="P1964" s="288">
        <v>53306</v>
      </c>
      <c r="Q1964" s="288"/>
      <c r="R1964" s="288">
        <v>47296</v>
      </c>
      <c r="S1964" s="289">
        <v>8192.6</v>
      </c>
      <c r="T1964" s="289">
        <v>1126.2</v>
      </c>
      <c r="U1964" s="289"/>
      <c r="V1964" s="288">
        <v>118565</v>
      </c>
      <c r="W1964" s="288">
        <v>46418</v>
      </c>
      <c r="X1964" s="288">
        <v>39690</v>
      </c>
      <c r="Y1964" s="288">
        <v>92778</v>
      </c>
      <c r="Z1964" s="288">
        <v>69323</v>
      </c>
    </row>
    <row r="1965" spans="1:26" ht="18" customHeight="1" x14ac:dyDescent="0.2">
      <c r="A1965" s="279">
        <f t="shared" si="2376"/>
        <v>44816</v>
      </c>
      <c r="B1965" s="280" t="s">
        <v>191</v>
      </c>
      <c r="C1965" s="295">
        <f t="shared" ref="C1965:C1972" si="2380">(V1966-V1965)*1+(W1966-W1965)*32+(X1966-X1965)*12+(Y1966-Y1965)*6</f>
        <v>2252</v>
      </c>
      <c r="D1965" s="296">
        <f t="shared" si="2356"/>
        <v>1888</v>
      </c>
      <c r="E1965" s="297">
        <f t="shared" si="2357"/>
        <v>1911.9999999998799</v>
      </c>
      <c r="F1965" s="297">
        <f t="shared" ref="F1965:F1972" si="2381">(Z1966-Z1965)*1</f>
        <v>76</v>
      </c>
      <c r="G1965" s="298">
        <f t="shared" ref="G1965:G1972" si="2382">C1965+D1965+F1965+E1965</f>
        <v>6127.9999999998799</v>
      </c>
      <c r="H1965" s="199"/>
      <c r="I1965" s="199"/>
      <c r="J1965" s="200"/>
      <c r="K1965" s="201"/>
      <c r="L1965" s="276"/>
      <c r="M1965" s="276"/>
      <c r="N1965" s="235">
        <v>74710</v>
      </c>
      <c r="O1965" s="235">
        <v>31644</v>
      </c>
      <c r="P1965" s="235">
        <v>53423</v>
      </c>
      <c r="Q1965" s="235"/>
      <c r="R1965" s="235">
        <v>47296</v>
      </c>
      <c r="S1965" s="236">
        <v>8221.7000000000007</v>
      </c>
      <c r="T1965" s="236">
        <v>1128.4000000000001</v>
      </c>
      <c r="U1965" s="236"/>
      <c r="V1965" s="235">
        <v>119095</v>
      </c>
      <c r="W1965" s="235">
        <v>46473</v>
      </c>
      <c r="X1965" s="235">
        <v>39726</v>
      </c>
      <c r="Y1965" s="235">
        <v>92778</v>
      </c>
      <c r="Z1965" s="235">
        <v>69637</v>
      </c>
    </row>
    <row r="1966" spans="1:26" ht="18" customHeight="1" x14ac:dyDescent="0.2">
      <c r="A1966" s="279">
        <f t="shared" si="2376"/>
        <v>44817</v>
      </c>
      <c r="B1966" s="280" t="s">
        <v>192</v>
      </c>
      <c r="C1966" s="295">
        <f t="shared" si="2380"/>
        <v>1929</v>
      </c>
      <c r="D1966" s="296">
        <f t="shared" si="2356"/>
        <v>1808</v>
      </c>
      <c r="E1966" s="297">
        <f t="shared" si="2357"/>
        <v>1860</v>
      </c>
      <c r="F1966" s="297">
        <f t="shared" si="2381"/>
        <v>67</v>
      </c>
      <c r="G1966" s="298">
        <f t="shared" si="2382"/>
        <v>5664</v>
      </c>
      <c r="H1966" s="199"/>
      <c r="I1966" s="199"/>
      <c r="J1966" s="200"/>
      <c r="K1966" s="201"/>
      <c r="L1966" s="276"/>
      <c r="M1966" s="276"/>
      <c r="N1966" s="235">
        <v>74829</v>
      </c>
      <c r="O1966" s="235">
        <v>31689</v>
      </c>
      <c r="P1966" s="235">
        <v>53540</v>
      </c>
      <c r="Q1966" s="235"/>
      <c r="R1966" s="235">
        <v>47296</v>
      </c>
      <c r="S1966" s="236">
        <v>8245.2999999999993</v>
      </c>
      <c r="T1966" s="236">
        <v>1129</v>
      </c>
      <c r="U1966" s="236"/>
      <c r="V1966" s="235">
        <v>119283</v>
      </c>
      <c r="W1966" s="235">
        <v>46515</v>
      </c>
      <c r="X1966" s="235">
        <v>39786</v>
      </c>
      <c r="Y1966" s="235">
        <v>92778</v>
      </c>
      <c r="Z1966" s="235">
        <v>69713</v>
      </c>
    </row>
    <row r="1967" spans="1:26" ht="18" customHeight="1" x14ac:dyDescent="0.2">
      <c r="A1967" s="279">
        <f t="shared" si="2376"/>
        <v>44818</v>
      </c>
      <c r="B1967" s="280" t="s">
        <v>193</v>
      </c>
      <c r="C1967" s="295">
        <f t="shared" si="2380"/>
        <v>2341</v>
      </c>
      <c r="D1967" s="296">
        <f t="shared" ref="D1967:D2030" si="2383">(N1968-N1967)*8+(P1968-P1967)*8+(R1968-R1967)*1</f>
        <v>1832</v>
      </c>
      <c r="E1967" s="297">
        <f t="shared" ref="E1967:E2030" si="2384">(S1968-S1967)*80+(T1968-T1967)*40</f>
        <v>1784.0000000001146</v>
      </c>
      <c r="F1967" s="297">
        <f t="shared" si="2381"/>
        <v>79</v>
      </c>
      <c r="G1967" s="298">
        <f t="shared" si="2382"/>
        <v>6036.0000000001146</v>
      </c>
      <c r="H1967" s="199"/>
      <c r="I1967" s="199"/>
      <c r="J1967" s="200"/>
      <c r="K1967" s="201"/>
      <c r="L1967" s="276"/>
      <c r="M1967" s="276"/>
      <c r="N1967" s="235">
        <v>74946</v>
      </c>
      <c r="O1967" s="235">
        <v>31736</v>
      </c>
      <c r="P1967" s="235">
        <v>53649</v>
      </c>
      <c r="Q1967" s="235"/>
      <c r="R1967" s="235">
        <v>47296</v>
      </c>
      <c r="S1967" s="236">
        <v>8268.2999999999993</v>
      </c>
      <c r="T1967" s="236">
        <v>1129.5</v>
      </c>
      <c r="U1967" s="236"/>
      <c r="V1967" s="235">
        <v>119476</v>
      </c>
      <c r="W1967" s="235">
        <v>46552</v>
      </c>
      <c r="X1967" s="235">
        <v>39832</v>
      </c>
      <c r="Y1967" s="235">
        <v>92778</v>
      </c>
      <c r="Z1967" s="235">
        <v>69780</v>
      </c>
    </row>
    <row r="1968" spans="1:26" ht="18" customHeight="1" x14ac:dyDescent="0.2">
      <c r="A1968" s="279">
        <f t="shared" si="2376"/>
        <v>44819</v>
      </c>
      <c r="B1968" s="280" t="s">
        <v>194</v>
      </c>
      <c r="C1968" s="295">
        <f t="shared" si="2380"/>
        <v>2590</v>
      </c>
      <c r="D1968" s="296">
        <f t="shared" si="2383"/>
        <v>1816</v>
      </c>
      <c r="E1968" s="297">
        <f t="shared" si="2384"/>
        <v>1743.9999999999691</v>
      </c>
      <c r="F1968" s="297">
        <f t="shared" si="2381"/>
        <v>82</v>
      </c>
      <c r="G1968" s="298">
        <f t="shared" si="2382"/>
        <v>6231.9999999999691</v>
      </c>
      <c r="H1968" s="199"/>
      <c r="I1968" s="199"/>
      <c r="J1968" s="200"/>
      <c r="K1968" s="201"/>
      <c r="L1968" s="276"/>
      <c r="M1968" s="276"/>
      <c r="N1968" s="235">
        <v>75056</v>
      </c>
      <c r="O1968" s="235">
        <v>31779</v>
      </c>
      <c r="P1968" s="235">
        <v>53768</v>
      </c>
      <c r="Q1968" s="235"/>
      <c r="R1968" s="235">
        <v>47296</v>
      </c>
      <c r="S1968" s="236">
        <v>8290.2000000000007</v>
      </c>
      <c r="T1968" s="236">
        <v>1130.3</v>
      </c>
      <c r="U1968" s="236"/>
      <c r="V1968" s="235">
        <v>119693</v>
      </c>
      <c r="W1968" s="235">
        <v>46597</v>
      </c>
      <c r="X1968" s="235">
        <v>39889</v>
      </c>
      <c r="Y1968" s="235">
        <v>92778</v>
      </c>
      <c r="Z1968" s="235">
        <v>69859</v>
      </c>
    </row>
    <row r="1969" spans="1:26" ht="18" customHeight="1" x14ac:dyDescent="0.2">
      <c r="A1969" s="279">
        <f t="shared" si="2376"/>
        <v>44820</v>
      </c>
      <c r="B1969" s="278" t="s">
        <v>189</v>
      </c>
      <c r="C1969" s="295">
        <f t="shared" si="2380"/>
        <v>0</v>
      </c>
      <c r="D1969" s="296">
        <f t="shared" si="2383"/>
        <v>0</v>
      </c>
      <c r="E1969" s="297">
        <f t="shared" si="2384"/>
        <v>0</v>
      </c>
      <c r="F1969" s="297">
        <f t="shared" si="2381"/>
        <v>0</v>
      </c>
      <c r="G1969" s="298">
        <f t="shared" si="2382"/>
        <v>0</v>
      </c>
      <c r="H1969" s="199"/>
      <c r="I1969" s="199"/>
      <c r="J1969" s="200"/>
      <c r="K1969" s="201"/>
      <c r="L1969" s="276"/>
      <c r="M1969" s="276"/>
      <c r="N1969" s="235">
        <v>75158</v>
      </c>
      <c r="O1969" s="235">
        <v>31818</v>
      </c>
      <c r="P1969" s="235">
        <v>53893</v>
      </c>
      <c r="Q1969" s="235"/>
      <c r="R1969" s="235">
        <v>47296</v>
      </c>
      <c r="S1969" s="236">
        <v>8311.6</v>
      </c>
      <c r="T1969" s="236">
        <v>1131.0999999999999</v>
      </c>
      <c r="U1969" s="236"/>
      <c r="V1969" s="235">
        <v>119919</v>
      </c>
      <c r="W1969" s="235">
        <v>46645</v>
      </c>
      <c r="X1969" s="235">
        <v>39958</v>
      </c>
      <c r="Y1969" s="235">
        <v>92778</v>
      </c>
      <c r="Z1969" s="235">
        <v>69941</v>
      </c>
    </row>
    <row r="1970" spans="1:26" ht="18" customHeight="1" x14ac:dyDescent="0.2">
      <c r="A1970" s="279">
        <f t="shared" si="2376"/>
        <v>44821</v>
      </c>
      <c r="B1970" s="279" t="s">
        <v>195</v>
      </c>
      <c r="C1970" s="295">
        <f t="shared" si="2380"/>
        <v>0</v>
      </c>
      <c r="D1970" s="296">
        <f t="shared" si="2383"/>
        <v>0</v>
      </c>
      <c r="E1970" s="297">
        <f t="shared" si="2384"/>
        <v>0</v>
      </c>
      <c r="F1970" s="297">
        <f t="shared" si="2381"/>
        <v>0</v>
      </c>
      <c r="G1970" s="298">
        <f t="shared" si="2382"/>
        <v>0</v>
      </c>
      <c r="H1970" s="199"/>
      <c r="I1970" s="199"/>
      <c r="J1970" s="200"/>
      <c r="K1970" s="201"/>
      <c r="L1970" s="276"/>
      <c r="M1970" s="276"/>
      <c r="N1970" s="194">
        <v>75158</v>
      </c>
      <c r="O1970" s="194">
        <v>31818</v>
      </c>
      <c r="P1970" s="194">
        <v>53893</v>
      </c>
      <c r="Q1970" s="194"/>
      <c r="R1970" s="194">
        <v>47296</v>
      </c>
      <c r="S1970" s="195">
        <v>8311.6</v>
      </c>
      <c r="T1970" s="195">
        <v>1131.0999999999999</v>
      </c>
      <c r="U1970" s="195"/>
      <c r="V1970" s="194">
        <v>119919</v>
      </c>
      <c r="W1970" s="194">
        <v>46645</v>
      </c>
      <c r="X1970" s="194">
        <v>39958</v>
      </c>
      <c r="Y1970" s="194">
        <v>92778</v>
      </c>
      <c r="Z1970" s="194">
        <v>69941</v>
      </c>
    </row>
    <row r="1971" spans="1:26" ht="18" customHeight="1" x14ac:dyDescent="0.2">
      <c r="A1971" s="279">
        <f t="shared" si="2376"/>
        <v>44822</v>
      </c>
      <c r="B1971" s="278" t="s">
        <v>190</v>
      </c>
      <c r="C1971" s="295">
        <f t="shared" si="2380"/>
        <v>3029</v>
      </c>
      <c r="D1971" s="296">
        <f t="shared" si="2383"/>
        <v>1952</v>
      </c>
      <c r="E1971" s="297">
        <f t="shared" si="2384"/>
        <v>3207.9999999999472</v>
      </c>
      <c r="F1971" s="297">
        <f t="shared" si="2381"/>
        <v>297</v>
      </c>
      <c r="G1971" s="298">
        <f t="shared" si="2382"/>
        <v>8485.9999999999472</v>
      </c>
      <c r="H1971" s="199"/>
      <c r="I1971" s="199"/>
      <c r="J1971" s="200"/>
      <c r="K1971" s="201"/>
      <c r="L1971" s="276"/>
      <c r="M1971" s="276"/>
      <c r="N1971" s="194">
        <v>75158</v>
      </c>
      <c r="O1971" s="194">
        <v>31818</v>
      </c>
      <c r="P1971" s="194">
        <v>53893</v>
      </c>
      <c r="Q1971" s="194"/>
      <c r="R1971" s="194">
        <v>47296</v>
      </c>
      <c r="S1971" s="195">
        <v>8311.6</v>
      </c>
      <c r="T1971" s="195">
        <v>1131.0999999999999</v>
      </c>
      <c r="U1971" s="195"/>
      <c r="V1971" s="194">
        <v>119919</v>
      </c>
      <c r="W1971" s="194">
        <v>46645</v>
      </c>
      <c r="X1971" s="194">
        <v>39958</v>
      </c>
      <c r="Y1971" s="194">
        <v>92778</v>
      </c>
      <c r="Z1971" s="194">
        <v>69941</v>
      </c>
    </row>
    <row r="1972" spans="1:26" ht="18" customHeight="1" x14ac:dyDescent="0.2">
      <c r="A1972" s="279">
        <f t="shared" si="2376"/>
        <v>44823</v>
      </c>
      <c r="B1972" s="280" t="s">
        <v>191</v>
      </c>
      <c r="C1972" s="295">
        <f t="shared" si="2380"/>
        <v>2377</v>
      </c>
      <c r="D1972" s="296">
        <f t="shared" si="2383"/>
        <v>1976</v>
      </c>
      <c r="E1972" s="297">
        <f t="shared" si="2384"/>
        <v>1772.0000000000891</v>
      </c>
      <c r="F1972" s="297">
        <f t="shared" si="2381"/>
        <v>94</v>
      </c>
      <c r="G1972" s="298">
        <f t="shared" si="2382"/>
        <v>6219.0000000000891</v>
      </c>
      <c r="H1972" s="199"/>
      <c r="I1972" s="199"/>
      <c r="J1972" s="200"/>
      <c r="K1972" s="201"/>
      <c r="L1972" s="276"/>
      <c r="M1972" s="276"/>
      <c r="N1972" s="235">
        <v>75258</v>
      </c>
      <c r="O1972" s="235">
        <v>31858</v>
      </c>
      <c r="P1972" s="235">
        <v>54037</v>
      </c>
      <c r="Q1972" s="235"/>
      <c r="R1972" s="235">
        <v>47296</v>
      </c>
      <c r="S1972" s="236">
        <v>8350.9</v>
      </c>
      <c r="T1972" s="236">
        <v>1132.7</v>
      </c>
      <c r="U1972" s="236"/>
      <c r="V1972" s="235">
        <v>120392</v>
      </c>
      <c r="W1972" s="235">
        <v>46705</v>
      </c>
      <c r="X1972" s="235">
        <v>40011</v>
      </c>
      <c r="Y1972" s="235">
        <v>92778</v>
      </c>
      <c r="Z1972" s="235">
        <v>70238</v>
      </c>
    </row>
    <row r="1973" spans="1:26" ht="18" customHeight="1" x14ac:dyDescent="0.2">
      <c r="A1973" s="279">
        <f t="shared" si="2376"/>
        <v>44824</v>
      </c>
      <c r="B1973" s="280" t="s">
        <v>192</v>
      </c>
      <c r="C1973" s="295">
        <f t="shared" ref="C1973:C1978" si="2385">(V1974-V1973)*1+(W1974-W1973)*32+(X1974-X1973)*12+(Y1974-Y1973)*6</f>
        <v>1880</v>
      </c>
      <c r="D1973" s="296">
        <f t="shared" si="2383"/>
        <v>2056</v>
      </c>
      <c r="E1973" s="297">
        <f t="shared" si="2384"/>
        <v>1667.9999999999927</v>
      </c>
      <c r="F1973" s="297">
        <f t="shared" ref="F1973:F1978" si="2386">(Z1974-Z1973)*1</f>
        <v>76</v>
      </c>
      <c r="G1973" s="298">
        <f t="shared" ref="G1973:G1978" si="2387">C1973+D1973+F1973+E1973</f>
        <v>5679.9999999999927</v>
      </c>
      <c r="H1973" s="199"/>
      <c r="I1973" s="199"/>
      <c r="J1973" s="200"/>
      <c r="K1973" s="201"/>
      <c r="L1973" s="276"/>
      <c r="M1973" s="276"/>
      <c r="N1973" s="235">
        <v>75353</v>
      </c>
      <c r="O1973" s="235">
        <v>31895</v>
      </c>
      <c r="P1973" s="235">
        <v>54189</v>
      </c>
      <c r="Q1973" s="235"/>
      <c r="R1973" s="235">
        <v>47296</v>
      </c>
      <c r="S1973" s="236">
        <v>8372.7000000000007</v>
      </c>
      <c r="T1973" s="236">
        <v>1133.4000000000001</v>
      </c>
      <c r="U1973" s="236"/>
      <c r="V1973" s="235">
        <v>120593</v>
      </c>
      <c r="W1973" s="235">
        <v>46746</v>
      </c>
      <c r="X1973" s="235">
        <v>40083</v>
      </c>
      <c r="Y1973" s="235">
        <v>92778</v>
      </c>
      <c r="Z1973" s="235">
        <v>70332</v>
      </c>
    </row>
    <row r="1974" spans="1:26" ht="18" customHeight="1" x14ac:dyDescent="0.2">
      <c r="A1974" s="279">
        <f t="shared" si="2376"/>
        <v>44825</v>
      </c>
      <c r="B1974" s="280" t="s">
        <v>193</v>
      </c>
      <c r="C1974" s="295">
        <f t="shared" si="2385"/>
        <v>2029</v>
      </c>
      <c r="D1974" s="296">
        <f t="shared" si="2383"/>
        <v>2232</v>
      </c>
      <c r="E1974" s="297">
        <f t="shared" si="2384"/>
        <v>1699.9999999999727</v>
      </c>
      <c r="F1974" s="297">
        <f t="shared" si="2386"/>
        <v>81</v>
      </c>
      <c r="G1974" s="298">
        <f t="shared" si="2387"/>
        <v>6041.9999999999727</v>
      </c>
      <c r="H1974" s="199"/>
      <c r="I1974" s="199"/>
      <c r="J1974" s="200"/>
      <c r="K1974" s="201"/>
      <c r="L1974" s="276"/>
      <c r="M1974" s="276"/>
      <c r="N1974" s="235">
        <v>75450</v>
      </c>
      <c r="O1974" s="235">
        <v>31933</v>
      </c>
      <c r="P1974" s="235">
        <v>54349</v>
      </c>
      <c r="Q1974" s="235"/>
      <c r="R1974" s="235">
        <v>47296</v>
      </c>
      <c r="S1974" s="236">
        <v>8393.2000000000007</v>
      </c>
      <c r="T1974" s="236">
        <v>1134.0999999999999</v>
      </c>
      <c r="U1974" s="236"/>
      <c r="V1974" s="235">
        <v>120781</v>
      </c>
      <c r="W1974" s="235">
        <v>46785</v>
      </c>
      <c r="X1974" s="235">
        <v>40120</v>
      </c>
      <c r="Y1974" s="235">
        <v>92778</v>
      </c>
      <c r="Z1974" s="235">
        <v>70408</v>
      </c>
    </row>
    <row r="1975" spans="1:26" ht="18" customHeight="1" x14ac:dyDescent="0.2">
      <c r="A1975" s="279">
        <f t="shared" si="2376"/>
        <v>44826</v>
      </c>
      <c r="B1975" s="280" t="s">
        <v>194</v>
      </c>
      <c r="C1975" s="295">
        <f t="shared" si="2385"/>
        <v>1942</v>
      </c>
      <c r="D1975" s="296">
        <f t="shared" si="2383"/>
        <v>2040</v>
      </c>
      <c r="E1975" s="297">
        <f t="shared" si="2384"/>
        <v>1796.0000000000309</v>
      </c>
      <c r="F1975" s="297">
        <f t="shared" si="2386"/>
        <v>85</v>
      </c>
      <c r="G1975" s="298">
        <f t="shared" si="2387"/>
        <v>5863.0000000000309</v>
      </c>
      <c r="H1975" s="199"/>
      <c r="I1975" s="199"/>
      <c r="J1975" s="200"/>
      <c r="K1975" s="201"/>
      <c r="L1975" s="276"/>
      <c r="M1975" s="276"/>
      <c r="N1975" s="235">
        <v>75550</v>
      </c>
      <c r="O1975" s="235">
        <v>31971</v>
      </c>
      <c r="P1975" s="235">
        <v>54528</v>
      </c>
      <c r="Q1975" s="235"/>
      <c r="R1975" s="235">
        <v>47296</v>
      </c>
      <c r="S1975" s="236">
        <v>8414.1</v>
      </c>
      <c r="T1975" s="236">
        <v>1134.8</v>
      </c>
      <c r="U1975" s="236"/>
      <c r="V1975" s="235">
        <v>120970</v>
      </c>
      <c r="W1975" s="235">
        <v>46823</v>
      </c>
      <c r="X1975" s="235">
        <v>40172</v>
      </c>
      <c r="Y1975" s="235">
        <v>92778</v>
      </c>
      <c r="Z1975" s="235">
        <v>70489</v>
      </c>
    </row>
    <row r="1976" spans="1:26" ht="18" customHeight="1" x14ac:dyDescent="0.2">
      <c r="A1976" s="279">
        <f t="shared" si="2376"/>
        <v>44827</v>
      </c>
      <c r="B1976" s="278" t="s">
        <v>189</v>
      </c>
      <c r="C1976" s="295">
        <f t="shared" si="2385"/>
        <v>0</v>
      </c>
      <c r="D1976" s="296">
        <f t="shared" si="2383"/>
        <v>0</v>
      </c>
      <c r="E1976" s="297">
        <f t="shared" si="2384"/>
        <v>0</v>
      </c>
      <c r="F1976" s="297">
        <f t="shared" si="2386"/>
        <v>0</v>
      </c>
      <c r="G1976" s="298">
        <f t="shared" si="2387"/>
        <v>0</v>
      </c>
      <c r="H1976" s="199"/>
      <c r="I1976" s="199"/>
      <c r="J1976" s="200"/>
      <c r="K1976" s="201"/>
      <c r="L1976" s="276"/>
      <c r="M1976" s="276"/>
      <c r="N1976" s="235">
        <v>75640</v>
      </c>
      <c r="O1976" s="235">
        <v>32005</v>
      </c>
      <c r="P1976" s="235">
        <v>54693</v>
      </c>
      <c r="Q1976" s="235"/>
      <c r="R1976" s="235">
        <v>47296</v>
      </c>
      <c r="S1976" s="236">
        <v>8436.2000000000007</v>
      </c>
      <c r="T1976" s="236">
        <v>1135.5</v>
      </c>
      <c r="U1976" s="236"/>
      <c r="V1976" s="235">
        <v>121164</v>
      </c>
      <c r="W1976" s="235">
        <v>46860</v>
      </c>
      <c r="X1976" s="235">
        <v>40219</v>
      </c>
      <c r="Y1976" s="235">
        <v>92778</v>
      </c>
      <c r="Z1976" s="235">
        <v>70574</v>
      </c>
    </row>
    <row r="1977" spans="1:26" ht="18" customHeight="1" x14ac:dyDescent="0.2">
      <c r="A1977" s="279">
        <f t="shared" si="2376"/>
        <v>44828</v>
      </c>
      <c r="B1977" s="279" t="s">
        <v>195</v>
      </c>
      <c r="C1977" s="295">
        <f t="shared" si="2385"/>
        <v>0</v>
      </c>
      <c r="D1977" s="296">
        <f t="shared" si="2383"/>
        <v>0</v>
      </c>
      <c r="E1977" s="297">
        <f t="shared" si="2384"/>
        <v>0</v>
      </c>
      <c r="F1977" s="297">
        <f t="shared" si="2386"/>
        <v>0</v>
      </c>
      <c r="G1977" s="298">
        <f t="shared" si="2387"/>
        <v>0</v>
      </c>
      <c r="H1977" s="199"/>
      <c r="I1977" s="199"/>
      <c r="J1977" s="200"/>
      <c r="K1977" s="201"/>
      <c r="L1977" s="276"/>
      <c r="M1977" s="276"/>
      <c r="N1977" s="153">
        <v>75640</v>
      </c>
      <c r="O1977" s="153">
        <v>32005</v>
      </c>
      <c r="P1977" s="153">
        <v>54693</v>
      </c>
      <c r="Q1977" s="153"/>
      <c r="R1977" s="153">
        <v>47296</v>
      </c>
      <c r="S1977" s="154">
        <v>8436.2000000000007</v>
      </c>
      <c r="T1977" s="154">
        <v>1135.5</v>
      </c>
      <c r="U1977" s="154"/>
      <c r="V1977" s="153">
        <v>121164</v>
      </c>
      <c r="W1977" s="153">
        <v>46860</v>
      </c>
      <c r="X1977" s="153">
        <v>40219</v>
      </c>
      <c r="Y1977" s="153">
        <v>92778</v>
      </c>
      <c r="Z1977" s="153">
        <v>70574</v>
      </c>
    </row>
    <row r="1978" spans="1:26" ht="18" customHeight="1" x14ac:dyDescent="0.2">
      <c r="A1978" s="279">
        <f t="shared" si="2376"/>
        <v>44829</v>
      </c>
      <c r="B1978" s="278" t="s">
        <v>190</v>
      </c>
      <c r="C1978" s="295">
        <f t="shared" si="2385"/>
        <v>2378</v>
      </c>
      <c r="D1978" s="296">
        <f t="shared" si="2383"/>
        <v>1992</v>
      </c>
      <c r="E1978" s="297">
        <f t="shared" si="2384"/>
        <v>2635.99999999994</v>
      </c>
      <c r="F1978" s="297">
        <f t="shared" si="2386"/>
        <v>201</v>
      </c>
      <c r="G1978" s="298">
        <f t="shared" si="2387"/>
        <v>7206.99999999994</v>
      </c>
      <c r="H1978" s="199"/>
      <c r="I1978" s="199"/>
      <c r="J1978" s="200"/>
      <c r="K1978" s="201"/>
      <c r="L1978" s="276"/>
      <c r="M1978" s="276"/>
      <c r="N1978" s="153">
        <v>75640</v>
      </c>
      <c r="O1978" s="153">
        <v>32005</v>
      </c>
      <c r="P1978" s="153">
        <v>54693</v>
      </c>
      <c r="Q1978" s="153"/>
      <c r="R1978" s="153">
        <v>47296</v>
      </c>
      <c r="S1978" s="154">
        <v>8436.2000000000007</v>
      </c>
      <c r="T1978" s="154">
        <v>1135.5</v>
      </c>
      <c r="U1978" s="154"/>
      <c r="V1978" s="153">
        <v>121164</v>
      </c>
      <c r="W1978" s="153">
        <v>46860</v>
      </c>
      <c r="X1978" s="153">
        <v>40219</v>
      </c>
      <c r="Y1978" s="153">
        <v>92778</v>
      </c>
      <c r="Z1978" s="153">
        <v>70574</v>
      </c>
    </row>
    <row r="1979" spans="1:26" ht="18" customHeight="1" x14ac:dyDescent="0.2">
      <c r="A1979" s="279">
        <f t="shared" si="2376"/>
        <v>44830</v>
      </c>
      <c r="B1979" s="280" t="s">
        <v>191</v>
      </c>
      <c r="C1979" s="295">
        <f t="shared" ref="C1979:C1980" si="2388">(V1980-V1979)*1+(W1980-W1979)*32+(X1980-X1979)*12+(Y1980-Y1979)*6</f>
        <v>1955</v>
      </c>
      <c r="D1979" s="296">
        <f t="shared" si="2383"/>
        <v>2016</v>
      </c>
      <c r="E1979" s="297">
        <f t="shared" si="2384"/>
        <v>1624.0000000000055</v>
      </c>
      <c r="F1979" s="297">
        <f t="shared" ref="F1979:F1980" si="2389">(Z1980-Z1979)*1</f>
        <v>81</v>
      </c>
      <c r="G1979" s="298">
        <f t="shared" ref="G1979:G1980" si="2390">C1979+D1979+F1979+E1979</f>
        <v>5676.0000000000055</v>
      </c>
      <c r="H1979" s="199"/>
      <c r="I1979" s="199"/>
      <c r="J1979" s="200"/>
      <c r="K1979" s="201"/>
      <c r="L1979" s="276"/>
      <c r="M1979" s="276"/>
      <c r="N1979" s="235">
        <v>75723</v>
      </c>
      <c r="O1979" s="235">
        <v>32039</v>
      </c>
      <c r="P1979" s="235">
        <v>54859</v>
      </c>
      <c r="Q1979" s="235"/>
      <c r="R1979" s="235">
        <v>47296</v>
      </c>
      <c r="S1979" s="236">
        <v>8468.5</v>
      </c>
      <c r="T1979" s="236">
        <v>1136.8</v>
      </c>
      <c r="U1979" s="236"/>
      <c r="V1979" s="235">
        <v>121554</v>
      </c>
      <c r="W1979" s="235">
        <v>46909</v>
      </c>
      <c r="X1979" s="235">
        <v>40254</v>
      </c>
      <c r="Y1979" s="235">
        <v>92778</v>
      </c>
      <c r="Z1979" s="235">
        <v>70775</v>
      </c>
    </row>
    <row r="1980" spans="1:26" ht="18" customHeight="1" x14ac:dyDescent="0.2">
      <c r="A1980" s="279">
        <f t="shared" si="2376"/>
        <v>44831</v>
      </c>
      <c r="B1980" s="280" t="s">
        <v>192</v>
      </c>
      <c r="C1980" s="295">
        <f t="shared" si="2388"/>
        <v>2368</v>
      </c>
      <c r="D1980" s="296">
        <f t="shared" si="2383"/>
        <v>2032</v>
      </c>
      <c r="E1980" s="297">
        <f t="shared" si="2384"/>
        <v>1703.9999999999964</v>
      </c>
      <c r="F1980" s="297">
        <f t="shared" si="2389"/>
        <v>84</v>
      </c>
      <c r="G1980" s="298">
        <f t="shared" si="2390"/>
        <v>6187.9999999999964</v>
      </c>
      <c r="H1980" s="199"/>
      <c r="I1980" s="199"/>
      <c r="J1980" s="200"/>
      <c r="K1980" s="201"/>
      <c r="L1980" s="276"/>
      <c r="M1980" s="276"/>
      <c r="N1980" s="235">
        <v>75812</v>
      </c>
      <c r="O1980" s="235">
        <v>32072</v>
      </c>
      <c r="P1980" s="235">
        <v>55022</v>
      </c>
      <c r="Q1980" s="235"/>
      <c r="R1980" s="235">
        <v>47296</v>
      </c>
      <c r="S1980" s="236">
        <v>8488.5</v>
      </c>
      <c r="T1980" s="236">
        <v>1137.4000000000001</v>
      </c>
      <c r="U1980" s="236"/>
      <c r="V1980" s="235">
        <v>121741</v>
      </c>
      <c r="W1980" s="235">
        <v>46947</v>
      </c>
      <c r="X1980" s="235">
        <v>40300</v>
      </c>
      <c r="Y1980" s="235">
        <v>92778</v>
      </c>
      <c r="Z1980" s="235">
        <v>70856</v>
      </c>
    </row>
    <row r="1981" spans="1:26" ht="18" customHeight="1" x14ac:dyDescent="0.2">
      <c r="A1981" s="279">
        <f t="shared" si="2376"/>
        <v>44832</v>
      </c>
      <c r="B1981" s="280" t="s">
        <v>193</v>
      </c>
      <c r="C1981" s="295">
        <f>(V1982-V1981)*1+(W1982-W1981)*32+(X1982-X1981)*12+(Y1982-Y1981)*6</f>
        <v>2460</v>
      </c>
      <c r="D1981" s="296">
        <f t="shared" si="2383"/>
        <v>2016</v>
      </c>
      <c r="E1981" s="297">
        <f t="shared" si="2384"/>
        <v>1671.9999999999982</v>
      </c>
      <c r="F1981" s="297">
        <f>(Z1982-Z1981)*1</f>
        <v>80</v>
      </c>
      <c r="G1981" s="298">
        <f>C1981+D1981+F1981+E1981</f>
        <v>6227.9999999999982</v>
      </c>
      <c r="H1981" s="199"/>
      <c r="I1981" s="199"/>
      <c r="J1981" s="200"/>
      <c r="K1981" s="201"/>
      <c r="L1981" s="276"/>
      <c r="M1981" s="276"/>
      <c r="N1981" s="235">
        <v>75899</v>
      </c>
      <c r="O1981" s="235">
        <v>32105</v>
      </c>
      <c r="P1981" s="235">
        <v>55189</v>
      </c>
      <c r="Q1981" s="235"/>
      <c r="R1981" s="235">
        <v>47296</v>
      </c>
      <c r="S1981" s="236">
        <v>8509.5</v>
      </c>
      <c r="T1981" s="236">
        <v>1138</v>
      </c>
      <c r="U1981" s="236"/>
      <c r="V1981" s="235">
        <v>121937</v>
      </c>
      <c r="W1981" s="235">
        <v>46992</v>
      </c>
      <c r="X1981" s="235">
        <v>40361</v>
      </c>
      <c r="Y1981" s="235">
        <v>92778</v>
      </c>
      <c r="Z1981" s="235">
        <v>70940</v>
      </c>
    </row>
    <row r="1982" spans="1:26" ht="18" customHeight="1" x14ac:dyDescent="0.2">
      <c r="A1982" s="279">
        <f t="shared" si="2376"/>
        <v>44833</v>
      </c>
      <c r="B1982" s="280" t="s">
        <v>194</v>
      </c>
      <c r="C1982" s="295">
        <f t="shared" ref="C1982:C1985" si="2391">(V1983-V1982)*1+(W1983-W1982)*32+(X1983-X1982)*12+(Y1983-Y1982)*6</f>
        <v>2372</v>
      </c>
      <c r="D1982" s="296">
        <f t="shared" si="2383"/>
        <v>2064</v>
      </c>
      <c r="E1982" s="297">
        <f t="shared" si="2384"/>
        <v>1891.9999999999436</v>
      </c>
      <c r="F1982" s="297">
        <f t="shared" ref="F1982:F1985" si="2392">(Z1983-Z1982)*1</f>
        <v>75</v>
      </c>
      <c r="G1982" s="298">
        <f t="shared" ref="G1982:G1985" si="2393">C1982+D1982+F1982+E1982</f>
        <v>6402.9999999999436</v>
      </c>
      <c r="H1982" s="199"/>
      <c r="I1982" s="199"/>
      <c r="J1982" s="200"/>
      <c r="K1982" s="201"/>
      <c r="L1982" s="276"/>
      <c r="M1982" s="276"/>
      <c r="N1982" s="235">
        <v>75983</v>
      </c>
      <c r="O1982" s="235">
        <v>32138</v>
      </c>
      <c r="P1982" s="235">
        <v>55357</v>
      </c>
      <c r="Q1982" s="235"/>
      <c r="R1982" s="235">
        <v>47296</v>
      </c>
      <c r="S1982" s="236">
        <v>8530</v>
      </c>
      <c r="T1982" s="236">
        <v>1138.8</v>
      </c>
      <c r="U1982" s="236"/>
      <c r="V1982" s="235">
        <v>122137</v>
      </c>
      <c r="W1982" s="235">
        <v>47039</v>
      </c>
      <c r="X1982" s="235">
        <v>40424</v>
      </c>
      <c r="Y1982" s="235">
        <v>92778</v>
      </c>
      <c r="Z1982" s="235">
        <v>71020</v>
      </c>
    </row>
    <row r="1983" spans="1:26" ht="18" customHeight="1" x14ac:dyDescent="0.2">
      <c r="A1983" s="279">
        <f t="shared" si="2376"/>
        <v>44834</v>
      </c>
      <c r="B1983" s="278" t="s">
        <v>189</v>
      </c>
      <c r="C1983" s="295">
        <f t="shared" si="2391"/>
        <v>0</v>
      </c>
      <c r="D1983" s="296">
        <f t="shared" si="2383"/>
        <v>0</v>
      </c>
      <c r="E1983" s="297">
        <f t="shared" si="2384"/>
        <v>0</v>
      </c>
      <c r="F1983" s="297">
        <f t="shared" si="2392"/>
        <v>0</v>
      </c>
      <c r="G1983" s="298">
        <f t="shared" si="2393"/>
        <v>0</v>
      </c>
      <c r="H1983" s="199"/>
      <c r="I1983" s="199"/>
      <c r="J1983" s="200"/>
      <c r="K1983" s="201"/>
      <c r="L1983" s="276"/>
      <c r="M1983" s="276"/>
      <c r="N1983" s="235">
        <v>76070</v>
      </c>
      <c r="O1983" s="235">
        <v>32172</v>
      </c>
      <c r="P1983" s="235">
        <v>55528</v>
      </c>
      <c r="Q1983" s="235"/>
      <c r="R1983" s="235">
        <v>47296</v>
      </c>
      <c r="S1983" s="236">
        <v>8553.2999999999993</v>
      </c>
      <c r="T1983" s="236">
        <v>1139.5</v>
      </c>
      <c r="U1983" s="236"/>
      <c r="V1983" s="235">
        <v>122357</v>
      </c>
      <c r="W1983" s="235">
        <v>47086</v>
      </c>
      <c r="X1983" s="235">
        <v>40478</v>
      </c>
      <c r="Y1983" s="235">
        <v>92778</v>
      </c>
      <c r="Z1983" s="235">
        <v>71095</v>
      </c>
    </row>
    <row r="1984" spans="1:26" ht="18" customHeight="1" x14ac:dyDescent="0.2">
      <c r="A1984" s="279">
        <f t="shared" si="2376"/>
        <v>44835</v>
      </c>
      <c r="B1984" s="279" t="s">
        <v>195</v>
      </c>
      <c r="C1984" s="295">
        <f t="shared" si="2391"/>
        <v>0</v>
      </c>
      <c r="D1984" s="296">
        <f t="shared" si="2383"/>
        <v>0</v>
      </c>
      <c r="E1984" s="297">
        <f t="shared" si="2384"/>
        <v>0</v>
      </c>
      <c r="F1984" s="297">
        <f t="shared" si="2392"/>
        <v>0</v>
      </c>
      <c r="G1984" s="298">
        <f t="shared" si="2393"/>
        <v>0</v>
      </c>
      <c r="H1984" s="199"/>
      <c r="I1984" s="199"/>
      <c r="J1984" s="200"/>
      <c r="K1984" s="201"/>
      <c r="L1984" s="276"/>
      <c r="M1984" s="276"/>
      <c r="N1984" s="288">
        <v>76070</v>
      </c>
      <c r="O1984" s="288">
        <v>32172</v>
      </c>
      <c r="P1984" s="288">
        <v>55528</v>
      </c>
      <c r="Q1984" s="288"/>
      <c r="R1984" s="288">
        <v>47296</v>
      </c>
      <c r="S1984" s="289">
        <v>8553.2999999999993</v>
      </c>
      <c r="T1984" s="289">
        <v>1139.5</v>
      </c>
      <c r="U1984" s="289"/>
      <c r="V1984" s="288">
        <v>122357</v>
      </c>
      <c r="W1984" s="288">
        <v>47086</v>
      </c>
      <c r="X1984" s="288">
        <v>40478</v>
      </c>
      <c r="Y1984" s="288">
        <v>92778</v>
      </c>
      <c r="Z1984" s="288">
        <v>71095</v>
      </c>
    </row>
    <row r="1985" spans="1:26" ht="18" customHeight="1" x14ac:dyDescent="0.2">
      <c r="A1985" s="279">
        <f t="shared" si="2376"/>
        <v>44836</v>
      </c>
      <c r="B1985" s="278" t="s">
        <v>190</v>
      </c>
      <c r="C1985" s="295">
        <f t="shared" si="2391"/>
        <v>3206</v>
      </c>
      <c r="D1985" s="296">
        <f t="shared" si="2383"/>
        <v>3720</v>
      </c>
      <c r="E1985" s="297">
        <f t="shared" si="2384"/>
        <v>2456.0000000000582</v>
      </c>
      <c r="F1985" s="297">
        <f t="shared" si="2392"/>
        <v>233</v>
      </c>
      <c r="G1985" s="298">
        <f t="shared" si="2393"/>
        <v>9615.0000000000582</v>
      </c>
      <c r="H1985" s="199"/>
      <c r="I1985" s="199"/>
      <c r="J1985" s="200"/>
      <c r="K1985" s="201"/>
      <c r="L1985" s="276"/>
      <c r="M1985" s="276"/>
      <c r="N1985" s="288">
        <v>76070</v>
      </c>
      <c r="O1985" s="288">
        <v>32172</v>
      </c>
      <c r="P1985" s="288">
        <v>55528</v>
      </c>
      <c r="Q1985" s="288"/>
      <c r="R1985" s="288">
        <v>47296</v>
      </c>
      <c r="S1985" s="289">
        <v>8553.2999999999993</v>
      </c>
      <c r="T1985" s="289">
        <v>1139.5</v>
      </c>
      <c r="U1985" s="289"/>
      <c r="V1985" s="288">
        <v>122357</v>
      </c>
      <c r="W1985" s="288">
        <v>47086</v>
      </c>
      <c r="X1985" s="288">
        <v>40478</v>
      </c>
      <c r="Y1985" s="288">
        <v>92778</v>
      </c>
      <c r="Z1985" s="288">
        <v>71095</v>
      </c>
    </row>
    <row r="1986" spans="1:26" ht="18" customHeight="1" x14ac:dyDescent="0.2">
      <c r="A1986" s="279">
        <f t="shared" si="2376"/>
        <v>44837</v>
      </c>
      <c r="B1986" s="280" t="s">
        <v>191</v>
      </c>
      <c r="C1986" s="299">
        <f t="shared" ref="C1986:C1993" si="2394">(V1987-V1986)*1+(W1987-W1986)*32+(X1987-X1986)*12+(Y1987-Y1986)*6</f>
        <v>2255</v>
      </c>
      <c r="D1986" s="300">
        <f t="shared" si="2383"/>
        <v>1976</v>
      </c>
      <c r="E1986" s="301">
        <f t="shared" si="2384"/>
        <v>1671.9999999999982</v>
      </c>
      <c r="F1986" s="301">
        <f t="shared" ref="F1986:F1993" si="2395">(Z1987-Z1986)*1</f>
        <v>97</v>
      </c>
      <c r="G1986" s="302">
        <f t="shared" ref="G1986:G1993" si="2396">C1986+D1986+F1986+E1986</f>
        <v>5999.9999999999982</v>
      </c>
      <c r="H1986" s="199"/>
      <c r="I1986" s="199"/>
      <c r="J1986" s="200"/>
      <c r="K1986" s="201"/>
      <c r="L1986" s="276"/>
      <c r="M1986" s="276"/>
      <c r="N1986" s="235">
        <v>76214</v>
      </c>
      <c r="O1986" s="235">
        <v>32229</v>
      </c>
      <c r="P1986" s="235">
        <v>55849</v>
      </c>
      <c r="Q1986" s="235"/>
      <c r="R1986" s="235">
        <v>47296</v>
      </c>
      <c r="S1986" s="236">
        <v>8583</v>
      </c>
      <c r="T1986" s="236">
        <v>1141.5</v>
      </c>
      <c r="U1986" s="236"/>
      <c r="V1986" s="235">
        <v>122883</v>
      </c>
      <c r="W1986" s="235">
        <v>47148</v>
      </c>
      <c r="X1986" s="235">
        <v>40536</v>
      </c>
      <c r="Y1986" s="235">
        <v>92778</v>
      </c>
      <c r="Z1986" s="235">
        <v>71328</v>
      </c>
    </row>
    <row r="1987" spans="1:26" ht="18" customHeight="1" x14ac:dyDescent="0.2">
      <c r="A1987" s="279">
        <f t="shared" si="2376"/>
        <v>44838</v>
      </c>
      <c r="B1987" s="280" t="s">
        <v>192</v>
      </c>
      <c r="C1987" s="299">
        <f t="shared" si="2394"/>
        <v>2386</v>
      </c>
      <c r="D1987" s="300">
        <f t="shared" si="2383"/>
        <v>2112</v>
      </c>
      <c r="E1987" s="301">
        <f t="shared" si="2384"/>
        <v>1903.9999999999691</v>
      </c>
      <c r="F1987" s="301">
        <f t="shared" si="2395"/>
        <v>88</v>
      </c>
      <c r="G1987" s="302">
        <f t="shared" si="2396"/>
        <v>6489.9999999999691</v>
      </c>
      <c r="H1987" s="199"/>
      <c r="I1987" s="199"/>
      <c r="J1987" s="200"/>
      <c r="K1987" s="201"/>
      <c r="L1987" s="276"/>
      <c r="M1987" s="276"/>
      <c r="N1987" s="235">
        <v>76300</v>
      </c>
      <c r="O1987" s="235">
        <v>32263</v>
      </c>
      <c r="P1987" s="235">
        <v>56010</v>
      </c>
      <c r="Q1987" s="235"/>
      <c r="R1987" s="235">
        <v>47296</v>
      </c>
      <c r="S1987" s="236">
        <v>8603.5</v>
      </c>
      <c r="T1987" s="236">
        <v>1142.3</v>
      </c>
      <c r="U1987" s="236"/>
      <c r="V1987" s="235">
        <v>123090</v>
      </c>
      <c r="W1987" s="235">
        <v>47191</v>
      </c>
      <c r="X1987" s="235">
        <v>40592</v>
      </c>
      <c r="Y1987" s="235">
        <v>92778</v>
      </c>
      <c r="Z1987" s="235">
        <v>71425</v>
      </c>
    </row>
    <row r="1988" spans="1:26" ht="18" customHeight="1" x14ac:dyDescent="0.2">
      <c r="A1988" s="279">
        <f t="shared" si="2376"/>
        <v>44839</v>
      </c>
      <c r="B1988" s="280" t="s">
        <v>193</v>
      </c>
      <c r="C1988" s="299">
        <f t="shared" si="2394"/>
        <v>2284</v>
      </c>
      <c r="D1988" s="300">
        <f t="shared" si="2383"/>
        <v>2144</v>
      </c>
      <c r="E1988" s="301">
        <f t="shared" si="2384"/>
        <v>1792.0000000000346</v>
      </c>
      <c r="F1988" s="301">
        <f t="shared" si="2395"/>
        <v>77</v>
      </c>
      <c r="G1988" s="302">
        <f t="shared" si="2396"/>
        <v>6297.0000000000346</v>
      </c>
      <c r="H1988" s="199"/>
      <c r="I1988" s="199"/>
      <c r="J1988" s="200"/>
      <c r="K1988" s="201"/>
      <c r="L1988" s="276"/>
      <c r="M1988" s="276"/>
      <c r="N1988" s="235">
        <v>76389</v>
      </c>
      <c r="O1988" s="235">
        <v>32296</v>
      </c>
      <c r="P1988" s="235">
        <v>56185</v>
      </c>
      <c r="Q1988" s="235"/>
      <c r="R1988" s="235">
        <v>47296</v>
      </c>
      <c r="S1988" s="236">
        <v>8626.9</v>
      </c>
      <c r="T1988" s="236">
        <v>1143.0999999999999</v>
      </c>
      <c r="U1988" s="236"/>
      <c r="V1988" s="235">
        <v>123300</v>
      </c>
      <c r="W1988" s="235">
        <v>47238</v>
      </c>
      <c r="X1988" s="235">
        <v>40648</v>
      </c>
      <c r="Y1988" s="235">
        <v>92778</v>
      </c>
      <c r="Z1988" s="235">
        <v>71513</v>
      </c>
    </row>
    <row r="1989" spans="1:26" ht="18" customHeight="1" x14ac:dyDescent="0.2">
      <c r="A1989" s="279">
        <f t="shared" si="2376"/>
        <v>44840</v>
      </c>
      <c r="B1989" s="280" t="s">
        <v>194</v>
      </c>
      <c r="C1989" s="299">
        <f t="shared" si="2394"/>
        <v>1869</v>
      </c>
      <c r="D1989" s="300">
        <f t="shared" si="2383"/>
        <v>2056</v>
      </c>
      <c r="E1989" s="301">
        <f t="shared" si="2384"/>
        <v>1727.9999999999382</v>
      </c>
      <c r="F1989" s="301">
        <f t="shared" si="2395"/>
        <v>87</v>
      </c>
      <c r="G1989" s="302">
        <f t="shared" si="2396"/>
        <v>5739.9999999999382</v>
      </c>
      <c r="H1989" s="199"/>
      <c r="I1989" s="199"/>
      <c r="J1989" s="200"/>
      <c r="K1989" s="201"/>
      <c r="L1989" s="276"/>
      <c r="M1989" s="276"/>
      <c r="N1989" s="235">
        <v>76482</v>
      </c>
      <c r="O1989" s="235">
        <v>32332</v>
      </c>
      <c r="P1989" s="235">
        <v>56360</v>
      </c>
      <c r="Q1989" s="235"/>
      <c r="R1989" s="235">
        <v>47296</v>
      </c>
      <c r="S1989" s="236">
        <v>8649</v>
      </c>
      <c r="T1989" s="236">
        <v>1143.7</v>
      </c>
      <c r="U1989" s="236"/>
      <c r="V1989" s="235">
        <v>123488</v>
      </c>
      <c r="W1989" s="235">
        <v>47281</v>
      </c>
      <c r="X1989" s="235">
        <v>40708</v>
      </c>
      <c r="Y1989" s="235">
        <v>92778</v>
      </c>
      <c r="Z1989" s="235">
        <v>71590</v>
      </c>
    </row>
    <row r="1990" spans="1:26" ht="18" customHeight="1" x14ac:dyDescent="0.2">
      <c r="A1990" s="279">
        <f t="shared" si="2376"/>
        <v>44841</v>
      </c>
      <c r="B1990" s="278" t="s">
        <v>189</v>
      </c>
      <c r="C1990" s="299">
        <f t="shared" si="2394"/>
        <v>0</v>
      </c>
      <c r="D1990" s="300">
        <f t="shared" si="2383"/>
        <v>0</v>
      </c>
      <c r="E1990" s="301">
        <f t="shared" si="2384"/>
        <v>0</v>
      </c>
      <c r="F1990" s="301">
        <f t="shared" si="2395"/>
        <v>0</v>
      </c>
      <c r="G1990" s="302">
        <f t="shared" si="2396"/>
        <v>0</v>
      </c>
      <c r="H1990" s="199"/>
      <c r="I1990" s="199"/>
      <c r="J1990" s="200"/>
      <c r="K1990" s="201"/>
      <c r="L1990" s="276"/>
      <c r="M1990" s="276"/>
      <c r="N1990" s="235">
        <v>76577</v>
      </c>
      <c r="O1990" s="235">
        <v>32368</v>
      </c>
      <c r="P1990" s="235">
        <v>56522</v>
      </c>
      <c r="Q1990" s="235"/>
      <c r="R1990" s="235">
        <v>47296</v>
      </c>
      <c r="S1990" s="236">
        <v>8670.2999999999993</v>
      </c>
      <c r="T1990" s="236">
        <v>1144.3</v>
      </c>
      <c r="U1990" s="236"/>
      <c r="V1990" s="235">
        <v>123665</v>
      </c>
      <c r="W1990" s="235">
        <v>47317</v>
      </c>
      <c r="X1990" s="235">
        <v>40753</v>
      </c>
      <c r="Y1990" s="235">
        <v>92778</v>
      </c>
      <c r="Z1990" s="235">
        <v>71677</v>
      </c>
    </row>
    <row r="1991" spans="1:26" ht="18" customHeight="1" x14ac:dyDescent="0.2">
      <c r="A1991" s="279">
        <f t="shared" si="2376"/>
        <v>44842</v>
      </c>
      <c r="B1991" s="279" t="s">
        <v>195</v>
      </c>
      <c r="C1991" s="299">
        <f t="shared" si="2394"/>
        <v>0</v>
      </c>
      <c r="D1991" s="300">
        <f t="shared" si="2383"/>
        <v>0</v>
      </c>
      <c r="E1991" s="301">
        <f t="shared" si="2384"/>
        <v>0</v>
      </c>
      <c r="F1991" s="301">
        <f t="shared" si="2395"/>
        <v>0</v>
      </c>
      <c r="G1991" s="302">
        <f t="shared" si="2396"/>
        <v>0</v>
      </c>
      <c r="H1991" s="199"/>
      <c r="I1991" s="199"/>
      <c r="J1991" s="200"/>
      <c r="K1991" s="201"/>
      <c r="L1991" s="276"/>
      <c r="M1991" s="276"/>
      <c r="N1991" s="288">
        <v>76577</v>
      </c>
      <c r="O1991" s="288">
        <v>32368</v>
      </c>
      <c r="P1991" s="288">
        <v>56522</v>
      </c>
      <c r="Q1991" s="288"/>
      <c r="R1991" s="288">
        <v>47296</v>
      </c>
      <c r="S1991" s="289">
        <v>8670.2999999999993</v>
      </c>
      <c r="T1991" s="289">
        <v>1144.3</v>
      </c>
      <c r="U1991" s="289"/>
      <c r="V1991" s="288">
        <v>123665</v>
      </c>
      <c r="W1991" s="288">
        <v>47317</v>
      </c>
      <c r="X1991" s="288">
        <v>40753</v>
      </c>
      <c r="Y1991" s="288">
        <v>92778</v>
      </c>
      <c r="Z1991" s="288">
        <v>71677</v>
      </c>
    </row>
    <row r="1992" spans="1:26" ht="18" customHeight="1" x14ac:dyDescent="0.2">
      <c r="A1992" s="279">
        <f t="shared" si="2376"/>
        <v>44843</v>
      </c>
      <c r="B1992" s="278" t="s">
        <v>190</v>
      </c>
      <c r="C1992" s="299">
        <f t="shared" si="2394"/>
        <v>0</v>
      </c>
      <c r="D1992" s="300">
        <f t="shared" si="2383"/>
        <v>0</v>
      </c>
      <c r="E1992" s="301">
        <f t="shared" si="2384"/>
        <v>0</v>
      </c>
      <c r="F1992" s="301">
        <f t="shared" si="2395"/>
        <v>0</v>
      </c>
      <c r="G1992" s="302">
        <f t="shared" si="2396"/>
        <v>0</v>
      </c>
      <c r="H1992" s="199"/>
      <c r="I1992" s="199"/>
      <c r="J1992" s="200"/>
      <c r="K1992" s="201"/>
      <c r="L1992" s="276"/>
      <c r="M1992" s="276"/>
      <c r="N1992" s="288">
        <v>76577</v>
      </c>
      <c r="O1992" s="288">
        <v>32368</v>
      </c>
      <c r="P1992" s="288">
        <v>56522</v>
      </c>
      <c r="Q1992" s="288"/>
      <c r="R1992" s="288">
        <v>47296</v>
      </c>
      <c r="S1992" s="289">
        <v>8670.2999999999993</v>
      </c>
      <c r="T1992" s="289">
        <v>1144.3</v>
      </c>
      <c r="U1992" s="289"/>
      <c r="V1992" s="288">
        <v>123665</v>
      </c>
      <c r="W1992" s="288">
        <v>47317</v>
      </c>
      <c r="X1992" s="288">
        <v>40753</v>
      </c>
      <c r="Y1992" s="288">
        <v>92778</v>
      </c>
      <c r="Z1992" s="288">
        <v>71677</v>
      </c>
    </row>
    <row r="1993" spans="1:26" ht="18" customHeight="1" x14ac:dyDescent="0.2">
      <c r="A1993" s="279">
        <f t="shared" si="2376"/>
        <v>44844</v>
      </c>
      <c r="B1993" s="280" t="s">
        <v>191</v>
      </c>
      <c r="C1993" s="299">
        <f t="shared" si="2394"/>
        <v>2874</v>
      </c>
      <c r="D1993" s="300">
        <f t="shared" si="2383"/>
        <v>1864</v>
      </c>
      <c r="E1993" s="301">
        <f t="shared" si="2384"/>
        <v>2044.0000000000055</v>
      </c>
      <c r="F1993" s="301">
        <f t="shared" si="2395"/>
        <v>250</v>
      </c>
      <c r="G1993" s="302">
        <f t="shared" si="2396"/>
        <v>7032.0000000000055</v>
      </c>
      <c r="H1993" s="199"/>
      <c r="I1993" s="199"/>
      <c r="J1993" s="200"/>
      <c r="K1993" s="201"/>
      <c r="L1993" s="276"/>
      <c r="M1993" s="276"/>
      <c r="N1993" s="288">
        <v>76577</v>
      </c>
      <c r="O1993" s="288">
        <v>32368</v>
      </c>
      <c r="P1993" s="288">
        <v>56522</v>
      </c>
      <c r="Q1993" s="288"/>
      <c r="R1993" s="288">
        <v>47296</v>
      </c>
      <c r="S1993" s="289">
        <v>8670.2999999999993</v>
      </c>
      <c r="T1993" s="289">
        <v>1144.3</v>
      </c>
      <c r="U1993" s="289"/>
      <c r="V1993" s="288">
        <v>123665</v>
      </c>
      <c r="W1993" s="288">
        <v>47317</v>
      </c>
      <c r="X1993" s="288">
        <v>40753</v>
      </c>
      <c r="Y1993" s="288">
        <v>92778</v>
      </c>
      <c r="Z1993" s="288">
        <v>71677</v>
      </c>
    </row>
    <row r="1994" spans="1:26" ht="18" customHeight="1" x14ac:dyDescent="0.2">
      <c r="A1994" s="279">
        <f t="shared" si="2376"/>
        <v>44845</v>
      </c>
      <c r="B1994" s="280" t="s">
        <v>192</v>
      </c>
      <c r="C1994" s="299">
        <f t="shared" ref="C1994:C1999" si="2397">(V1995-V1994)*1+(W1995-W1994)*32+(X1995-X1994)*12+(Y1995-Y1994)*6</f>
        <v>1898</v>
      </c>
      <c r="D1994" s="300">
        <f t="shared" si="2383"/>
        <v>1968</v>
      </c>
      <c r="E1994" s="301">
        <f t="shared" si="2384"/>
        <v>1912.0000000000528</v>
      </c>
      <c r="F1994" s="301">
        <f t="shared" ref="F1994:F1999" si="2398">(Z1995-Z1994)*1</f>
        <v>76</v>
      </c>
      <c r="G1994" s="302">
        <f t="shared" ref="G1994:G1999" si="2399">C1994+D1994+F1994+E1994</f>
        <v>5854.0000000000528</v>
      </c>
      <c r="H1994" s="199"/>
      <c r="I1994" s="199"/>
      <c r="J1994" s="200"/>
      <c r="K1994" s="201"/>
      <c r="L1994" s="276"/>
      <c r="M1994" s="276"/>
      <c r="N1994" s="235">
        <v>76658</v>
      </c>
      <c r="O1994" s="235">
        <v>32402</v>
      </c>
      <c r="P1994" s="235">
        <v>56674</v>
      </c>
      <c r="Q1994" s="235"/>
      <c r="R1994" s="235">
        <v>47296</v>
      </c>
      <c r="S1994" s="236">
        <v>8695.2999999999993</v>
      </c>
      <c r="T1994" s="236">
        <v>1145.4000000000001</v>
      </c>
      <c r="U1994" s="236"/>
      <c r="V1994" s="235">
        <v>124175</v>
      </c>
      <c r="W1994" s="235">
        <v>47374</v>
      </c>
      <c r="X1994" s="235">
        <v>40798</v>
      </c>
      <c r="Y1994" s="235">
        <v>92778</v>
      </c>
      <c r="Z1994" s="235">
        <v>71927</v>
      </c>
    </row>
    <row r="1995" spans="1:26" ht="18" customHeight="1" x14ac:dyDescent="0.2">
      <c r="A1995" s="279">
        <f t="shared" si="2376"/>
        <v>44846</v>
      </c>
      <c r="B1995" s="280" t="s">
        <v>193</v>
      </c>
      <c r="C1995" s="299">
        <f t="shared" si="2397"/>
        <v>2109</v>
      </c>
      <c r="D1995" s="300">
        <f t="shared" si="2383"/>
        <v>2080</v>
      </c>
      <c r="E1995" s="301">
        <f t="shared" si="2384"/>
        <v>1736.0000000000036</v>
      </c>
      <c r="F1995" s="301">
        <f t="shared" si="2398"/>
        <v>77</v>
      </c>
      <c r="G1995" s="302">
        <f t="shared" si="2399"/>
        <v>6002.0000000000036</v>
      </c>
      <c r="H1995" s="199"/>
      <c r="I1995" s="199"/>
      <c r="J1995" s="200"/>
      <c r="K1995" s="201"/>
      <c r="L1995" s="276"/>
      <c r="M1995" s="276"/>
      <c r="N1995" s="235">
        <v>76752</v>
      </c>
      <c r="O1995" s="235">
        <v>32439</v>
      </c>
      <c r="P1995" s="235">
        <v>56826</v>
      </c>
      <c r="Q1995" s="235"/>
      <c r="R1995" s="235">
        <v>47296</v>
      </c>
      <c r="S1995" s="236">
        <v>8719</v>
      </c>
      <c r="T1995" s="236">
        <v>1145.8</v>
      </c>
      <c r="U1995" s="236"/>
      <c r="V1995" s="235">
        <v>124337</v>
      </c>
      <c r="W1995" s="235">
        <v>47402</v>
      </c>
      <c r="X1995" s="235">
        <v>40868</v>
      </c>
      <c r="Y1995" s="235">
        <v>92778</v>
      </c>
      <c r="Z1995" s="235">
        <v>72003</v>
      </c>
    </row>
    <row r="1996" spans="1:26" ht="18" customHeight="1" x14ac:dyDescent="0.2">
      <c r="A1996" s="279">
        <f t="shared" si="2376"/>
        <v>44847</v>
      </c>
      <c r="B1996" s="280" t="s">
        <v>194</v>
      </c>
      <c r="C1996" s="299">
        <f t="shared" si="2397"/>
        <v>2164</v>
      </c>
      <c r="D1996" s="300">
        <f t="shared" si="2383"/>
        <v>2152</v>
      </c>
      <c r="E1996" s="301">
        <f t="shared" si="2384"/>
        <v>1735.9999999999945</v>
      </c>
      <c r="F1996" s="301">
        <f t="shared" si="2398"/>
        <v>81</v>
      </c>
      <c r="G1996" s="302">
        <f t="shared" si="2399"/>
        <v>6132.9999999999945</v>
      </c>
      <c r="H1996" s="199"/>
      <c r="I1996" s="199"/>
      <c r="J1996" s="200"/>
      <c r="K1996" s="201"/>
      <c r="L1996" s="276"/>
      <c r="M1996" s="276"/>
      <c r="N1996" s="235">
        <v>76856</v>
      </c>
      <c r="O1996" s="235">
        <v>32477</v>
      </c>
      <c r="P1996" s="235">
        <v>56982</v>
      </c>
      <c r="Q1996" s="235"/>
      <c r="R1996" s="235">
        <v>47296</v>
      </c>
      <c r="S1996" s="236">
        <v>8740.5</v>
      </c>
      <c r="T1996" s="236">
        <v>1146.2</v>
      </c>
      <c r="U1996" s="236"/>
      <c r="V1996" s="235">
        <v>124498</v>
      </c>
      <c r="W1996" s="235">
        <v>47434</v>
      </c>
      <c r="X1996" s="235">
        <v>40945</v>
      </c>
      <c r="Y1996" s="235">
        <v>92778</v>
      </c>
      <c r="Z1996" s="235">
        <v>72080</v>
      </c>
    </row>
    <row r="1997" spans="1:26" ht="18" customHeight="1" x14ac:dyDescent="0.2">
      <c r="A1997" s="279">
        <f t="shared" si="2376"/>
        <v>44848</v>
      </c>
      <c r="B1997" s="278" t="s">
        <v>189</v>
      </c>
      <c r="C1997" s="299">
        <f t="shared" si="2397"/>
        <v>0</v>
      </c>
      <c r="D1997" s="300">
        <f t="shared" si="2383"/>
        <v>0</v>
      </c>
      <c r="E1997" s="301">
        <f t="shared" si="2384"/>
        <v>0</v>
      </c>
      <c r="F1997" s="301">
        <f t="shared" si="2398"/>
        <v>0</v>
      </c>
      <c r="G1997" s="302">
        <f t="shared" si="2399"/>
        <v>0</v>
      </c>
      <c r="H1997" s="199"/>
      <c r="I1997" s="199"/>
      <c r="J1997" s="200"/>
      <c r="K1997" s="201"/>
      <c r="L1997" s="276"/>
      <c r="M1997" s="276"/>
      <c r="N1997" s="235">
        <v>76959</v>
      </c>
      <c r="O1997" s="235">
        <v>32517</v>
      </c>
      <c r="P1997" s="235">
        <v>57148</v>
      </c>
      <c r="Q1997" s="235"/>
      <c r="R1997" s="235">
        <v>47296</v>
      </c>
      <c r="S1997" s="236">
        <v>8762</v>
      </c>
      <c r="T1997" s="236">
        <v>1146.5999999999999</v>
      </c>
      <c r="U1997" s="236"/>
      <c r="V1997" s="235">
        <v>124670</v>
      </c>
      <c r="W1997" s="235">
        <v>47467</v>
      </c>
      <c r="X1997" s="235">
        <v>41023</v>
      </c>
      <c r="Y1997" s="235">
        <v>92778</v>
      </c>
      <c r="Z1997" s="235">
        <v>72161</v>
      </c>
    </row>
    <row r="1998" spans="1:26" ht="18" customHeight="1" x14ac:dyDescent="0.2">
      <c r="A1998" s="279">
        <f t="shared" si="2376"/>
        <v>44849</v>
      </c>
      <c r="B1998" s="279" t="s">
        <v>195</v>
      </c>
      <c r="C1998" s="299">
        <f t="shared" si="2397"/>
        <v>0</v>
      </c>
      <c r="D1998" s="300">
        <f t="shared" si="2383"/>
        <v>0</v>
      </c>
      <c r="E1998" s="301">
        <f t="shared" si="2384"/>
        <v>0</v>
      </c>
      <c r="F1998" s="301">
        <f t="shared" si="2398"/>
        <v>0</v>
      </c>
      <c r="G1998" s="302">
        <f t="shared" si="2399"/>
        <v>0</v>
      </c>
      <c r="H1998" s="199"/>
      <c r="I1998" s="199"/>
      <c r="J1998" s="200"/>
      <c r="K1998" s="201"/>
      <c r="L1998" s="276"/>
      <c r="M1998" s="276"/>
      <c r="N1998" s="153">
        <v>76959</v>
      </c>
      <c r="O1998" s="153">
        <v>32517</v>
      </c>
      <c r="P1998" s="153">
        <v>57148</v>
      </c>
      <c r="Q1998" s="153"/>
      <c r="R1998" s="153">
        <v>47296</v>
      </c>
      <c r="S1998" s="154">
        <v>8762</v>
      </c>
      <c r="T1998" s="154">
        <v>1146.5999999999999</v>
      </c>
      <c r="U1998" s="154"/>
      <c r="V1998" s="153">
        <v>124670</v>
      </c>
      <c r="W1998" s="153">
        <v>47467</v>
      </c>
      <c r="X1998" s="153">
        <v>41023</v>
      </c>
      <c r="Y1998" s="153">
        <v>92778</v>
      </c>
      <c r="Z1998" s="153">
        <v>72161</v>
      </c>
    </row>
    <row r="1999" spans="1:26" ht="18" customHeight="1" x14ac:dyDescent="0.2">
      <c r="A1999" s="279">
        <f t="shared" si="2376"/>
        <v>44850</v>
      </c>
      <c r="B1999" s="278" t="s">
        <v>190</v>
      </c>
      <c r="C1999" s="299">
        <f t="shared" si="2397"/>
        <v>2813</v>
      </c>
      <c r="D1999" s="300">
        <f t="shared" si="2383"/>
        <v>1912</v>
      </c>
      <c r="E1999" s="301">
        <f t="shared" si="2384"/>
        <v>2660.0000000000637</v>
      </c>
      <c r="F1999" s="301">
        <f t="shared" si="2398"/>
        <v>234</v>
      </c>
      <c r="G1999" s="302">
        <f t="shared" si="2399"/>
        <v>7619.0000000000637</v>
      </c>
      <c r="H1999" s="199"/>
      <c r="I1999" s="199"/>
      <c r="J1999" s="200"/>
      <c r="K1999" s="201"/>
      <c r="L1999" s="276"/>
      <c r="M1999" s="276"/>
      <c r="N1999" s="153">
        <v>76959</v>
      </c>
      <c r="O1999" s="153">
        <v>32517</v>
      </c>
      <c r="P1999" s="153">
        <v>57148</v>
      </c>
      <c r="Q1999" s="153"/>
      <c r="R1999" s="153">
        <v>47296</v>
      </c>
      <c r="S1999" s="154">
        <v>8762</v>
      </c>
      <c r="T1999" s="154">
        <v>1146.5999999999999</v>
      </c>
      <c r="U1999" s="154"/>
      <c r="V1999" s="153">
        <v>124670</v>
      </c>
      <c r="W1999" s="153">
        <v>47467</v>
      </c>
      <c r="X1999" s="153">
        <v>41023</v>
      </c>
      <c r="Y1999" s="153">
        <v>92778</v>
      </c>
      <c r="Z1999" s="153">
        <v>72161</v>
      </c>
    </row>
    <row r="2000" spans="1:26" ht="18" customHeight="1" x14ac:dyDescent="0.2">
      <c r="A2000" s="279">
        <f t="shared" si="2376"/>
        <v>44851</v>
      </c>
      <c r="B2000" s="280" t="s">
        <v>191</v>
      </c>
      <c r="C2000" s="299">
        <f t="shared" ref="C2000:C2006" si="2400">(V2001-V2000)*1+(W2001-W2000)*32+(X2001-X2000)*12+(Y2001-Y2000)*6</f>
        <v>2018</v>
      </c>
      <c r="D2000" s="300">
        <f t="shared" si="2383"/>
        <v>2160</v>
      </c>
      <c r="E2000" s="301">
        <f t="shared" si="2384"/>
        <v>1803.9999999999691</v>
      </c>
      <c r="F2000" s="301">
        <f t="shared" ref="F2000:F2006" si="2401">(Z2001-Z2000)*1</f>
        <v>87</v>
      </c>
      <c r="G2000" s="302">
        <f t="shared" ref="G2000:G2006" si="2402">C2000+D2000+F2000+E2000</f>
        <v>6068.9999999999691</v>
      </c>
      <c r="H2000" s="199"/>
      <c r="I2000" s="199"/>
      <c r="J2000" s="200"/>
      <c r="K2000" s="201"/>
      <c r="L2000" s="276"/>
      <c r="M2000" s="276"/>
      <c r="N2000" s="235">
        <v>77047</v>
      </c>
      <c r="O2000" s="235">
        <v>32555</v>
      </c>
      <c r="P2000" s="235">
        <v>57299</v>
      </c>
      <c r="Q2000" s="235"/>
      <c r="R2000" s="235">
        <v>47296</v>
      </c>
      <c r="S2000" s="236">
        <v>8794.7000000000007</v>
      </c>
      <c r="T2000" s="236">
        <v>1147.7</v>
      </c>
      <c r="U2000" s="236"/>
      <c r="V2000" s="235">
        <v>125091</v>
      </c>
      <c r="W2000" s="235">
        <v>47514</v>
      </c>
      <c r="X2000" s="235">
        <v>41097</v>
      </c>
      <c r="Y2000" s="235">
        <v>92778</v>
      </c>
      <c r="Z2000" s="235">
        <v>72395</v>
      </c>
    </row>
    <row r="2001" spans="1:26" ht="18" customHeight="1" x14ac:dyDescent="0.2">
      <c r="A2001" s="279">
        <f t="shared" si="2376"/>
        <v>44852</v>
      </c>
      <c r="B2001" s="280" t="s">
        <v>192</v>
      </c>
      <c r="C2001" s="299">
        <f t="shared" si="2400"/>
        <v>1972</v>
      </c>
      <c r="D2001" s="300">
        <f t="shared" si="2383"/>
        <v>2176</v>
      </c>
      <c r="E2001" s="301">
        <f t="shared" si="2384"/>
        <v>1664.0000000000327</v>
      </c>
      <c r="F2001" s="301">
        <f t="shared" si="2401"/>
        <v>92</v>
      </c>
      <c r="G2001" s="302">
        <f t="shared" si="2402"/>
        <v>5904.0000000000327</v>
      </c>
      <c r="H2001" s="199"/>
      <c r="I2001" s="199"/>
      <c r="J2001" s="200"/>
      <c r="K2001" s="201"/>
      <c r="L2001" s="276"/>
      <c r="M2001" s="276"/>
      <c r="N2001" s="235">
        <v>77150</v>
      </c>
      <c r="O2001" s="235">
        <v>32595</v>
      </c>
      <c r="P2001" s="235">
        <v>57466</v>
      </c>
      <c r="Q2001" s="235"/>
      <c r="R2001" s="235">
        <v>47296</v>
      </c>
      <c r="S2001" s="236">
        <v>8817.1</v>
      </c>
      <c r="T2001" s="236">
        <v>1148</v>
      </c>
      <c r="U2001" s="236"/>
      <c r="V2001" s="235">
        <v>125261</v>
      </c>
      <c r="W2001" s="235">
        <v>47544</v>
      </c>
      <c r="X2001" s="235">
        <v>41171</v>
      </c>
      <c r="Y2001" s="235">
        <v>92778</v>
      </c>
      <c r="Z2001" s="235">
        <v>72482</v>
      </c>
    </row>
    <row r="2002" spans="1:26" ht="18" customHeight="1" x14ac:dyDescent="0.2">
      <c r="A2002" s="279">
        <f t="shared" si="2376"/>
        <v>44853</v>
      </c>
      <c r="B2002" s="280" t="s">
        <v>193</v>
      </c>
      <c r="C2002" s="299">
        <f t="shared" si="2400"/>
        <v>2044</v>
      </c>
      <c r="D2002" s="300">
        <f t="shared" si="2383"/>
        <v>2168</v>
      </c>
      <c r="E2002" s="301">
        <f t="shared" si="2384"/>
        <v>1723.9999999999691</v>
      </c>
      <c r="F2002" s="301">
        <f t="shared" si="2401"/>
        <v>89</v>
      </c>
      <c r="G2002" s="302">
        <f t="shared" si="2402"/>
        <v>6024.9999999999691</v>
      </c>
      <c r="H2002" s="199"/>
      <c r="I2002" s="199"/>
      <c r="J2002" s="200"/>
      <c r="K2002" s="201"/>
      <c r="L2002" s="276"/>
      <c r="M2002" s="276"/>
      <c r="N2002" s="235">
        <v>77258</v>
      </c>
      <c r="O2002" s="235">
        <v>32635</v>
      </c>
      <c r="P2002" s="235">
        <v>57630</v>
      </c>
      <c r="Q2002" s="235"/>
      <c r="R2002" s="235">
        <v>47296</v>
      </c>
      <c r="S2002" s="236">
        <v>8837.7000000000007</v>
      </c>
      <c r="T2002" s="236">
        <v>1148.4000000000001</v>
      </c>
      <c r="U2002" s="236"/>
      <c r="V2002" s="235">
        <v>125417</v>
      </c>
      <c r="W2002" s="235">
        <v>47573</v>
      </c>
      <c r="X2002" s="235">
        <v>41245</v>
      </c>
      <c r="Y2002" s="235">
        <v>92778</v>
      </c>
      <c r="Z2002" s="235">
        <v>72574</v>
      </c>
    </row>
    <row r="2003" spans="1:26" ht="18" customHeight="1" x14ac:dyDescent="0.2">
      <c r="A2003" s="279">
        <f t="shared" si="2376"/>
        <v>44854</v>
      </c>
      <c r="B2003" s="280" t="s">
        <v>194</v>
      </c>
      <c r="C2003" s="299">
        <f t="shared" si="2400"/>
        <v>1918</v>
      </c>
      <c r="D2003" s="300">
        <f t="shared" si="2383"/>
        <v>2280</v>
      </c>
      <c r="E2003" s="301">
        <f t="shared" si="2384"/>
        <v>1827.9999999999109</v>
      </c>
      <c r="F2003" s="301">
        <f t="shared" si="2401"/>
        <v>99</v>
      </c>
      <c r="G2003" s="302">
        <f t="shared" si="2402"/>
        <v>6124.9999999999109</v>
      </c>
      <c r="H2003" s="199"/>
      <c r="I2003" s="199"/>
      <c r="J2003" s="200"/>
      <c r="K2003" s="201"/>
      <c r="L2003" s="276"/>
      <c r="M2003" s="276"/>
      <c r="N2003" s="235">
        <v>77366</v>
      </c>
      <c r="O2003" s="235">
        <v>32676</v>
      </c>
      <c r="P2003" s="235">
        <v>57793</v>
      </c>
      <c r="Q2003" s="235"/>
      <c r="R2003" s="235">
        <v>47296</v>
      </c>
      <c r="S2003" s="236">
        <v>8859.1</v>
      </c>
      <c r="T2003" s="236">
        <v>1148.7</v>
      </c>
      <c r="U2003" s="236"/>
      <c r="V2003" s="235">
        <v>125585</v>
      </c>
      <c r="W2003" s="235">
        <v>47602</v>
      </c>
      <c r="X2003" s="235">
        <v>41324</v>
      </c>
      <c r="Y2003" s="235">
        <v>92778</v>
      </c>
      <c r="Z2003" s="235">
        <v>72663</v>
      </c>
    </row>
    <row r="2004" spans="1:26" ht="18" customHeight="1" x14ac:dyDescent="0.2">
      <c r="A2004" s="279">
        <f t="shared" si="2376"/>
        <v>44855</v>
      </c>
      <c r="B2004" s="278" t="s">
        <v>189</v>
      </c>
      <c r="C2004" s="299">
        <f t="shared" si="2400"/>
        <v>0</v>
      </c>
      <c r="D2004" s="300">
        <f t="shared" si="2383"/>
        <v>0</v>
      </c>
      <c r="E2004" s="301">
        <f t="shared" si="2384"/>
        <v>0</v>
      </c>
      <c r="F2004" s="301">
        <f t="shared" si="2401"/>
        <v>0</v>
      </c>
      <c r="G2004" s="302">
        <f t="shared" si="2402"/>
        <v>0</v>
      </c>
      <c r="H2004" s="199"/>
      <c r="I2004" s="199"/>
      <c r="J2004" s="200"/>
      <c r="K2004" s="201"/>
      <c r="L2004" s="276"/>
      <c r="M2004" s="276"/>
      <c r="N2004" s="235">
        <v>77482</v>
      </c>
      <c r="O2004" s="235">
        <v>32722</v>
      </c>
      <c r="P2004" s="235">
        <v>57962</v>
      </c>
      <c r="Q2004" s="235"/>
      <c r="R2004" s="235">
        <v>47296</v>
      </c>
      <c r="S2004" s="236">
        <v>8881.7999999999993</v>
      </c>
      <c r="T2004" s="236">
        <v>1149</v>
      </c>
      <c r="U2004" s="236"/>
      <c r="V2004" s="235">
        <v>125767</v>
      </c>
      <c r="W2004" s="235">
        <v>47633</v>
      </c>
      <c r="X2004" s="235">
        <v>41386</v>
      </c>
      <c r="Y2004" s="235">
        <v>92778</v>
      </c>
      <c r="Z2004" s="235">
        <v>72762</v>
      </c>
    </row>
    <row r="2005" spans="1:26" ht="18" customHeight="1" x14ac:dyDescent="0.2">
      <c r="A2005" s="279">
        <f t="shared" si="2376"/>
        <v>44856</v>
      </c>
      <c r="B2005" s="279" t="s">
        <v>195</v>
      </c>
      <c r="C2005" s="299">
        <f t="shared" si="2400"/>
        <v>0</v>
      </c>
      <c r="D2005" s="300">
        <f t="shared" si="2383"/>
        <v>0</v>
      </c>
      <c r="E2005" s="301">
        <f t="shared" si="2384"/>
        <v>0</v>
      </c>
      <c r="F2005" s="301">
        <f t="shared" si="2401"/>
        <v>0</v>
      </c>
      <c r="G2005" s="302">
        <f t="shared" si="2402"/>
        <v>0</v>
      </c>
      <c r="H2005" s="199"/>
      <c r="I2005" s="199"/>
      <c r="J2005" s="200"/>
      <c r="K2005" s="201"/>
      <c r="L2005" s="276"/>
      <c r="M2005" s="276"/>
      <c r="N2005" s="153">
        <v>77482</v>
      </c>
      <c r="O2005" s="153">
        <v>32722</v>
      </c>
      <c r="P2005" s="153">
        <v>57962</v>
      </c>
      <c r="Q2005" s="153"/>
      <c r="R2005" s="153">
        <v>47296</v>
      </c>
      <c r="S2005" s="154">
        <v>8881.7999999999993</v>
      </c>
      <c r="T2005" s="154">
        <v>1149</v>
      </c>
      <c r="U2005" s="154"/>
      <c r="V2005" s="153">
        <v>125767</v>
      </c>
      <c r="W2005" s="153">
        <v>47633</v>
      </c>
      <c r="X2005" s="153">
        <v>41386</v>
      </c>
      <c r="Y2005" s="153">
        <v>92778</v>
      </c>
      <c r="Z2005" s="153">
        <v>72762</v>
      </c>
    </row>
    <row r="2006" spans="1:26" ht="18" customHeight="1" x14ac:dyDescent="0.2">
      <c r="A2006" s="279">
        <f t="shared" si="2376"/>
        <v>44857</v>
      </c>
      <c r="B2006" s="278" t="s">
        <v>190</v>
      </c>
      <c r="C2006" s="299">
        <f t="shared" si="2400"/>
        <v>2788</v>
      </c>
      <c r="D2006" s="300">
        <f t="shared" si="2383"/>
        <v>2080</v>
      </c>
      <c r="E2006" s="301">
        <f t="shared" si="2384"/>
        <v>2412.0000000000891</v>
      </c>
      <c r="F2006" s="301">
        <f t="shared" si="2401"/>
        <v>236</v>
      </c>
      <c r="G2006" s="302">
        <f t="shared" si="2402"/>
        <v>7516.0000000000891</v>
      </c>
      <c r="H2006" s="199"/>
      <c r="I2006" s="199"/>
      <c r="J2006" s="200"/>
      <c r="K2006" s="201"/>
      <c r="L2006" s="276"/>
      <c r="M2006" s="276"/>
      <c r="N2006" s="153">
        <v>77482</v>
      </c>
      <c r="O2006" s="153">
        <v>32722</v>
      </c>
      <c r="P2006" s="153">
        <v>57962</v>
      </c>
      <c r="Q2006" s="153"/>
      <c r="R2006" s="153">
        <v>47296</v>
      </c>
      <c r="S2006" s="154">
        <v>8881.7999999999993</v>
      </c>
      <c r="T2006" s="154">
        <v>1149</v>
      </c>
      <c r="U2006" s="154"/>
      <c r="V2006" s="153">
        <v>125767</v>
      </c>
      <c r="W2006" s="153">
        <v>47633</v>
      </c>
      <c r="X2006" s="153">
        <v>41386</v>
      </c>
      <c r="Y2006" s="153">
        <v>92778</v>
      </c>
      <c r="Z2006" s="153">
        <v>72762</v>
      </c>
    </row>
    <row r="2007" spans="1:26" ht="18" customHeight="1" x14ac:dyDescent="0.2">
      <c r="A2007" s="279">
        <f t="shared" si="2376"/>
        <v>44858</v>
      </c>
      <c r="B2007" s="280" t="s">
        <v>191</v>
      </c>
      <c r="C2007" s="299">
        <f t="shared" ref="C2007:C2013" si="2403">(V2008-V2007)*1+(W2008-W2007)*32+(X2008-X2007)*12+(Y2008-Y2007)*6</f>
        <v>1961</v>
      </c>
      <c r="D2007" s="300">
        <f t="shared" si="2383"/>
        <v>2304</v>
      </c>
      <c r="E2007" s="301">
        <f t="shared" si="2384"/>
        <v>1719.9999999999363</v>
      </c>
      <c r="F2007" s="301">
        <f>(Z2008-Z2007)*1</f>
        <v>84</v>
      </c>
      <c r="G2007" s="302">
        <f t="shared" ref="G2007:G2013" si="2404">C2007+D2007+F2007+E2007</f>
        <v>6068.9999999999363</v>
      </c>
      <c r="H2007" s="199"/>
      <c r="I2007" s="199"/>
      <c r="J2007" s="200"/>
      <c r="K2007" s="201"/>
      <c r="L2007" s="276"/>
      <c r="M2007" s="276"/>
      <c r="N2007" s="235">
        <v>77590</v>
      </c>
      <c r="O2007" s="235">
        <v>32768</v>
      </c>
      <c r="P2007" s="235">
        <v>58114</v>
      </c>
      <c r="Q2007" s="235"/>
      <c r="R2007" s="235">
        <v>47296</v>
      </c>
      <c r="S2007" s="236">
        <v>8911.6</v>
      </c>
      <c r="T2007" s="236">
        <v>1149.7</v>
      </c>
      <c r="U2007" s="236"/>
      <c r="V2007" s="235">
        <v>126175</v>
      </c>
      <c r="W2007" s="235">
        <v>47683</v>
      </c>
      <c r="X2007" s="235">
        <v>41451</v>
      </c>
      <c r="Y2007" s="235">
        <v>92778</v>
      </c>
      <c r="Z2007" s="235">
        <v>72998</v>
      </c>
    </row>
    <row r="2008" spans="1:26" ht="18" customHeight="1" x14ac:dyDescent="0.2">
      <c r="A2008" s="279">
        <f t="shared" si="2376"/>
        <v>44859</v>
      </c>
      <c r="B2008" s="280" t="s">
        <v>192</v>
      </c>
      <c r="C2008" s="299">
        <f t="shared" si="2403"/>
        <v>1859</v>
      </c>
      <c r="D2008" s="300">
        <f t="shared" si="2383"/>
        <v>2240</v>
      </c>
      <c r="E2008" s="301">
        <f t="shared" si="2384"/>
        <v>1940.0000000000364</v>
      </c>
      <c r="F2008" s="301">
        <f>(Z2009-Z2008)*1</f>
        <v>85</v>
      </c>
      <c r="G2008" s="302">
        <f t="shared" si="2404"/>
        <v>6124.0000000000364</v>
      </c>
      <c r="H2008" s="199"/>
      <c r="I2008" s="199"/>
      <c r="J2008" s="200"/>
      <c r="K2008" s="201"/>
      <c r="L2008" s="276"/>
      <c r="M2008" s="276"/>
      <c r="N2008" s="235">
        <v>77717</v>
      </c>
      <c r="O2008" s="235">
        <v>32815</v>
      </c>
      <c r="P2008" s="235">
        <v>58275</v>
      </c>
      <c r="Q2008" s="235"/>
      <c r="R2008" s="235">
        <v>47296</v>
      </c>
      <c r="S2008" s="236">
        <v>8932.9</v>
      </c>
      <c r="T2008" s="236">
        <v>1150.0999999999999</v>
      </c>
      <c r="U2008" s="236"/>
      <c r="V2008" s="235">
        <v>126336</v>
      </c>
      <c r="W2008" s="235">
        <v>47713</v>
      </c>
      <c r="X2008" s="235">
        <v>41521</v>
      </c>
      <c r="Y2008" s="235">
        <v>92778</v>
      </c>
      <c r="Z2008" s="235">
        <v>73082</v>
      </c>
    </row>
    <row r="2009" spans="1:26" ht="18" customHeight="1" x14ac:dyDescent="0.2">
      <c r="A2009" s="279">
        <f t="shared" si="2376"/>
        <v>44860</v>
      </c>
      <c r="B2009" s="280" t="s">
        <v>193</v>
      </c>
      <c r="C2009" s="299">
        <f t="shared" si="2403"/>
        <v>1967</v>
      </c>
      <c r="D2009" s="300">
        <f t="shared" si="2383"/>
        <v>2224</v>
      </c>
      <c r="E2009" s="301">
        <f t="shared" si="2384"/>
        <v>1719.9999999999363</v>
      </c>
      <c r="F2009" s="301">
        <f t="shared" ref="F2009:F2013" si="2405">(Z2010-Z2009)*1</f>
        <v>76</v>
      </c>
      <c r="G2009" s="302">
        <f t="shared" si="2404"/>
        <v>5986.9999999999363</v>
      </c>
      <c r="H2009" s="199"/>
      <c r="I2009" s="199"/>
      <c r="J2009" s="200"/>
      <c r="K2009" s="201"/>
      <c r="L2009" s="276"/>
      <c r="M2009" s="276"/>
      <c r="N2009" s="235">
        <v>77843</v>
      </c>
      <c r="O2009" s="235">
        <v>32862</v>
      </c>
      <c r="P2009" s="235">
        <v>58429</v>
      </c>
      <c r="Q2009" s="235"/>
      <c r="R2009" s="235">
        <v>47296</v>
      </c>
      <c r="S2009" s="236">
        <v>8957</v>
      </c>
      <c r="T2009" s="236">
        <v>1150.4000000000001</v>
      </c>
      <c r="U2009" s="236"/>
      <c r="V2009" s="235">
        <v>126515</v>
      </c>
      <c r="W2009" s="235">
        <v>47743</v>
      </c>
      <c r="X2009" s="235">
        <v>41581</v>
      </c>
      <c r="Y2009" s="235">
        <v>92778</v>
      </c>
      <c r="Z2009" s="235">
        <v>73167</v>
      </c>
    </row>
    <row r="2010" spans="1:26" ht="18" customHeight="1" x14ac:dyDescent="0.2">
      <c r="A2010" s="279">
        <f t="shared" si="2376"/>
        <v>44861</v>
      </c>
      <c r="B2010" s="280" t="s">
        <v>194</v>
      </c>
      <c r="C2010" s="299">
        <f t="shared" si="2403"/>
        <v>2047</v>
      </c>
      <c r="D2010" s="300">
        <f t="shared" si="2383"/>
        <v>2248</v>
      </c>
      <c r="E2010" s="301">
        <f t="shared" si="2384"/>
        <v>1596.0000000000855</v>
      </c>
      <c r="F2010" s="301">
        <f t="shared" si="2405"/>
        <v>77</v>
      </c>
      <c r="G2010" s="302">
        <f t="shared" si="2404"/>
        <v>5968.0000000000855</v>
      </c>
      <c r="H2010" s="199"/>
      <c r="I2010" s="199"/>
      <c r="J2010" s="200"/>
      <c r="K2010" s="201"/>
      <c r="L2010" s="276"/>
      <c r="M2010" s="276"/>
      <c r="N2010" s="235">
        <v>77967</v>
      </c>
      <c r="O2010" s="235">
        <v>32907</v>
      </c>
      <c r="P2010" s="235">
        <v>58583</v>
      </c>
      <c r="Q2010" s="235"/>
      <c r="R2010" s="235">
        <v>47296</v>
      </c>
      <c r="S2010" s="236">
        <v>8978.2999999999993</v>
      </c>
      <c r="T2010" s="236">
        <v>1150.8</v>
      </c>
      <c r="U2010" s="236"/>
      <c r="V2010" s="235">
        <v>126682</v>
      </c>
      <c r="W2010" s="235">
        <v>47776</v>
      </c>
      <c r="X2010" s="235">
        <v>41643</v>
      </c>
      <c r="Y2010" s="235">
        <v>92778</v>
      </c>
      <c r="Z2010" s="235">
        <v>73243</v>
      </c>
    </row>
    <row r="2011" spans="1:26" ht="18" customHeight="1" x14ac:dyDescent="0.2">
      <c r="A2011" s="279">
        <f t="shared" si="2376"/>
        <v>44862</v>
      </c>
      <c r="B2011" s="278" t="s">
        <v>189</v>
      </c>
      <c r="C2011" s="299">
        <f t="shared" si="2403"/>
        <v>0</v>
      </c>
      <c r="D2011" s="300">
        <f t="shared" si="2383"/>
        <v>0</v>
      </c>
      <c r="E2011" s="301">
        <f t="shared" si="2384"/>
        <v>0</v>
      </c>
      <c r="F2011" s="301">
        <f t="shared" si="2405"/>
        <v>0</v>
      </c>
      <c r="G2011" s="302">
        <f t="shared" si="2404"/>
        <v>0</v>
      </c>
      <c r="H2011" s="199"/>
      <c r="I2011" s="199"/>
      <c r="J2011" s="200"/>
      <c r="K2011" s="201"/>
      <c r="L2011" s="276"/>
      <c r="M2011" s="276"/>
      <c r="N2011" s="235">
        <v>78090</v>
      </c>
      <c r="O2011" s="235">
        <v>32956</v>
      </c>
      <c r="P2011" s="235">
        <v>58741</v>
      </c>
      <c r="Q2011" s="235"/>
      <c r="R2011" s="235">
        <v>47296</v>
      </c>
      <c r="S2011" s="236">
        <v>8998.1</v>
      </c>
      <c r="T2011" s="236">
        <v>1151.0999999999999</v>
      </c>
      <c r="U2011" s="236"/>
      <c r="V2011" s="235">
        <v>126861</v>
      </c>
      <c r="W2011" s="235">
        <v>47810</v>
      </c>
      <c r="X2011" s="235">
        <v>41708</v>
      </c>
      <c r="Y2011" s="235">
        <v>92778</v>
      </c>
      <c r="Z2011" s="235">
        <v>73320</v>
      </c>
    </row>
    <row r="2012" spans="1:26" ht="18" customHeight="1" x14ac:dyDescent="0.2">
      <c r="A2012" s="279">
        <f t="shared" si="2376"/>
        <v>44863</v>
      </c>
      <c r="B2012" s="279" t="s">
        <v>195</v>
      </c>
      <c r="C2012" s="299">
        <f t="shared" si="2403"/>
        <v>0</v>
      </c>
      <c r="D2012" s="300">
        <f t="shared" si="2383"/>
        <v>0</v>
      </c>
      <c r="E2012" s="301">
        <f t="shared" si="2384"/>
        <v>0</v>
      </c>
      <c r="F2012" s="301">
        <f t="shared" si="2405"/>
        <v>0</v>
      </c>
      <c r="G2012" s="302">
        <f t="shared" si="2404"/>
        <v>0</v>
      </c>
      <c r="H2012" s="199"/>
      <c r="I2012" s="199"/>
      <c r="J2012" s="200"/>
      <c r="K2012" s="201"/>
      <c r="L2012" s="276"/>
      <c r="M2012" s="276"/>
      <c r="N2012" s="153">
        <v>78090</v>
      </c>
      <c r="O2012" s="153">
        <v>32956</v>
      </c>
      <c r="P2012" s="153">
        <v>58741</v>
      </c>
      <c r="Q2012" s="153"/>
      <c r="R2012" s="153">
        <v>47296</v>
      </c>
      <c r="S2012" s="154">
        <v>8998.1</v>
      </c>
      <c r="T2012" s="154">
        <v>1151.0999999999999</v>
      </c>
      <c r="U2012" s="154"/>
      <c r="V2012" s="153">
        <v>126861</v>
      </c>
      <c r="W2012" s="153">
        <v>47810</v>
      </c>
      <c r="X2012" s="153">
        <v>41708</v>
      </c>
      <c r="Y2012" s="153">
        <v>92778</v>
      </c>
      <c r="Z2012" s="153">
        <v>73320</v>
      </c>
    </row>
    <row r="2013" spans="1:26" ht="18" customHeight="1" x14ac:dyDescent="0.2">
      <c r="A2013" s="279">
        <f t="shared" si="2376"/>
        <v>44864</v>
      </c>
      <c r="B2013" s="278" t="s">
        <v>190</v>
      </c>
      <c r="C2013" s="299">
        <f t="shared" si="2403"/>
        <v>2939</v>
      </c>
      <c r="D2013" s="300">
        <f t="shared" si="2383"/>
        <v>2240</v>
      </c>
      <c r="E2013" s="301">
        <f t="shared" si="2384"/>
        <v>2108.0000000000018</v>
      </c>
      <c r="F2013" s="301">
        <f t="shared" si="2405"/>
        <v>221</v>
      </c>
      <c r="G2013" s="302">
        <f t="shared" si="2404"/>
        <v>7508.0000000000018</v>
      </c>
      <c r="H2013" s="199"/>
      <c r="I2013" s="199"/>
      <c r="J2013" s="200"/>
      <c r="K2013" s="201"/>
      <c r="L2013" s="276"/>
      <c r="M2013" s="276"/>
      <c r="N2013" s="153">
        <v>78090</v>
      </c>
      <c r="O2013" s="153">
        <v>32956</v>
      </c>
      <c r="P2013" s="153">
        <v>58741</v>
      </c>
      <c r="Q2013" s="153"/>
      <c r="R2013" s="153">
        <v>47296</v>
      </c>
      <c r="S2013" s="154">
        <v>8998.1</v>
      </c>
      <c r="T2013" s="154">
        <v>1151.0999999999999</v>
      </c>
      <c r="U2013" s="154"/>
      <c r="V2013" s="153">
        <v>126861</v>
      </c>
      <c r="W2013" s="153">
        <v>47810</v>
      </c>
      <c r="X2013" s="153">
        <v>41708</v>
      </c>
      <c r="Y2013" s="153">
        <v>92778</v>
      </c>
      <c r="Z2013" s="153">
        <v>73320</v>
      </c>
    </row>
    <row r="2014" spans="1:26" ht="18" customHeight="1" x14ac:dyDescent="0.2">
      <c r="A2014" s="279">
        <f t="shared" si="2376"/>
        <v>44865</v>
      </c>
      <c r="B2014" s="280" t="s">
        <v>191</v>
      </c>
      <c r="C2014" s="299">
        <f t="shared" ref="C2014:C2016" si="2406">(V2015-V2014)*1+(W2015-W2014)*32+(X2015-X2014)*12+(Y2015-Y2014)*6</f>
        <v>1849</v>
      </c>
      <c r="D2014" s="300">
        <f t="shared" si="2383"/>
        <v>2192</v>
      </c>
      <c r="E2014" s="301">
        <f t="shared" si="2384"/>
        <v>1664.0000000000327</v>
      </c>
      <c r="F2014" s="301">
        <f t="shared" ref="F2014:F2016" si="2407">(Z2015-Z2014)*1</f>
        <v>89</v>
      </c>
      <c r="G2014" s="302">
        <f t="shared" ref="G2014:G2016" si="2408">C2014+D2014+F2014+E2014</f>
        <v>5794.0000000000327</v>
      </c>
      <c r="H2014" s="199"/>
      <c r="I2014" s="199"/>
      <c r="J2014" s="200"/>
      <c r="K2014" s="201"/>
      <c r="L2014" s="276"/>
      <c r="M2014" s="276"/>
      <c r="N2014" s="235">
        <v>78205</v>
      </c>
      <c r="O2014" s="235">
        <v>33003</v>
      </c>
      <c r="P2014" s="235">
        <v>58906</v>
      </c>
      <c r="Q2014" s="235"/>
      <c r="R2014" s="235">
        <v>47296</v>
      </c>
      <c r="S2014" s="236">
        <v>9024.1</v>
      </c>
      <c r="T2014" s="236">
        <v>1151.8</v>
      </c>
      <c r="U2014" s="236"/>
      <c r="V2014" s="235">
        <v>127284</v>
      </c>
      <c r="W2014" s="235">
        <v>47859</v>
      </c>
      <c r="X2014" s="235">
        <v>41787</v>
      </c>
      <c r="Y2014" s="235">
        <v>92778</v>
      </c>
      <c r="Z2014" s="235">
        <v>73541</v>
      </c>
    </row>
    <row r="2015" spans="1:26" ht="18" customHeight="1" x14ac:dyDescent="0.2">
      <c r="A2015" s="279">
        <f t="shared" si="2376"/>
        <v>44866</v>
      </c>
      <c r="B2015" s="280" t="s">
        <v>192</v>
      </c>
      <c r="C2015" s="299">
        <f t="shared" si="2406"/>
        <v>2004</v>
      </c>
      <c r="D2015" s="300">
        <f t="shared" si="2383"/>
        <v>2208</v>
      </c>
      <c r="E2015" s="301">
        <f t="shared" si="2384"/>
        <v>1827.9999999998836</v>
      </c>
      <c r="F2015" s="301">
        <f t="shared" si="2407"/>
        <v>87</v>
      </c>
      <c r="G2015" s="302">
        <f t="shared" si="2408"/>
        <v>6126.9999999998836</v>
      </c>
      <c r="H2015" s="199"/>
      <c r="I2015" s="199"/>
      <c r="J2015" s="200"/>
      <c r="K2015" s="201"/>
      <c r="L2015" s="276"/>
      <c r="M2015" s="276"/>
      <c r="N2015" s="235">
        <v>78321</v>
      </c>
      <c r="O2015" s="235">
        <v>33047</v>
      </c>
      <c r="P2015" s="235">
        <v>59064</v>
      </c>
      <c r="Q2015" s="235"/>
      <c r="R2015" s="235">
        <v>47296</v>
      </c>
      <c r="S2015" s="236">
        <v>9044.7000000000007</v>
      </c>
      <c r="T2015" s="236">
        <v>1152.2</v>
      </c>
      <c r="U2015" s="236"/>
      <c r="V2015" s="235">
        <v>127457</v>
      </c>
      <c r="W2015" s="235">
        <v>47890</v>
      </c>
      <c r="X2015" s="235">
        <v>41844</v>
      </c>
      <c r="Y2015" s="235">
        <v>92778</v>
      </c>
      <c r="Z2015" s="235">
        <v>73630</v>
      </c>
    </row>
    <row r="2016" spans="1:26" ht="18" customHeight="1" x14ac:dyDescent="0.2">
      <c r="A2016" s="279">
        <f t="shared" si="2376"/>
        <v>44867</v>
      </c>
      <c r="B2016" s="280" t="s">
        <v>193</v>
      </c>
      <c r="C2016" s="299">
        <f t="shared" si="2406"/>
        <v>1981</v>
      </c>
      <c r="D2016" s="300">
        <f t="shared" si="2383"/>
        <v>2120</v>
      </c>
      <c r="E2016" s="301">
        <f t="shared" si="2384"/>
        <v>1684.00000000006</v>
      </c>
      <c r="F2016" s="301">
        <f t="shared" si="2407"/>
        <v>83</v>
      </c>
      <c r="G2016" s="302">
        <f t="shared" si="2408"/>
        <v>5868.00000000006</v>
      </c>
      <c r="H2016" s="199"/>
      <c r="I2016" s="199"/>
      <c r="J2016" s="200"/>
      <c r="K2016" s="201"/>
      <c r="L2016" s="276"/>
      <c r="M2016" s="276"/>
      <c r="N2016" s="235">
        <v>78433</v>
      </c>
      <c r="O2016" s="235">
        <v>33090</v>
      </c>
      <c r="P2016" s="235">
        <v>59228</v>
      </c>
      <c r="Q2016" s="235"/>
      <c r="R2016" s="235">
        <v>47296</v>
      </c>
      <c r="S2016" s="236">
        <v>9067.2999999999993</v>
      </c>
      <c r="T2016" s="236">
        <v>1152.7</v>
      </c>
      <c r="U2016" s="236"/>
      <c r="V2016" s="235">
        <v>127633</v>
      </c>
      <c r="W2016" s="235">
        <v>47919</v>
      </c>
      <c r="X2016" s="235">
        <v>41919</v>
      </c>
      <c r="Y2016" s="235">
        <v>92778</v>
      </c>
      <c r="Z2016" s="235">
        <v>73717</v>
      </c>
    </row>
    <row r="2017" spans="1:26" ht="18" customHeight="1" x14ac:dyDescent="0.2">
      <c r="A2017" s="279">
        <f t="shared" si="2376"/>
        <v>44868</v>
      </c>
      <c r="B2017" s="280" t="s">
        <v>194</v>
      </c>
      <c r="C2017" s="299">
        <f t="shared" ref="C2017:C2021" si="2409">(V2018-V2017)*1+(W2018-W2017)*32+(X2018-X2017)*12+(Y2018-Y2017)*6</f>
        <v>2193</v>
      </c>
      <c r="D2017" s="300">
        <f t="shared" si="2383"/>
        <v>2144</v>
      </c>
      <c r="E2017" s="301">
        <f t="shared" si="2384"/>
        <v>1620</v>
      </c>
      <c r="F2017" s="301">
        <f t="shared" ref="F2017:F2021" si="2410">(Z2018-Z2017)*1</f>
        <v>83</v>
      </c>
      <c r="G2017" s="302">
        <f t="shared" ref="G2017:G2021" si="2411">C2017+D2017+F2017+E2017</f>
        <v>6040</v>
      </c>
      <c r="H2017" s="199"/>
      <c r="I2017" s="199"/>
      <c r="J2017" s="200"/>
      <c r="K2017" s="201"/>
      <c r="L2017" s="276"/>
      <c r="M2017" s="276"/>
      <c r="N2017" s="235">
        <v>78545</v>
      </c>
      <c r="O2017" s="235">
        <v>33132</v>
      </c>
      <c r="P2017" s="235">
        <v>59381</v>
      </c>
      <c r="Q2017" s="235"/>
      <c r="R2017" s="235">
        <v>47296</v>
      </c>
      <c r="S2017" s="236">
        <v>9088</v>
      </c>
      <c r="T2017" s="236">
        <v>1153.4000000000001</v>
      </c>
      <c r="U2017" s="236"/>
      <c r="V2017" s="235">
        <v>127806</v>
      </c>
      <c r="W2017" s="235">
        <v>47950</v>
      </c>
      <c r="X2017" s="235">
        <v>41987</v>
      </c>
      <c r="Y2017" s="235">
        <v>92778</v>
      </c>
      <c r="Z2017" s="235">
        <v>73800</v>
      </c>
    </row>
    <row r="2018" spans="1:26" ht="18" customHeight="1" x14ac:dyDescent="0.2">
      <c r="A2018" s="279">
        <f t="shared" si="2376"/>
        <v>44869</v>
      </c>
      <c r="B2018" s="278" t="s">
        <v>189</v>
      </c>
      <c r="C2018" s="299">
        <f t="shared" si="2409"/>
        <v>0</v>
      </c>
      <c r="D2018" s="300">
        <f t="shared" si="2383"/>
        <v>0</v>
      </c>
      <c r="E2018" s="301">
        <f t="shared" si="2384"/>
        <v>0</v>
      </c>
      <c r="F2018" s="301">
        <f t="shared" si="2410"/>
        <v>0</v>
      </c>
      <c r="G2018" s="302">
        <f t="shared" si="2411"/>
        <v>0</v>
      </c>
      <c r="H2018" s="199"/>
      <c r="I2018" s="199"/>
      <c r="J2018" s="200"/>
      <c r="K2018" s="201"/>
      <c r="L2018" s="276"/>
      <c r="M2018" s="276"/>
      <c r="N2018" s="235">
        <v>78658</v>
      </c>
      <c r="O2018" s="235">
        <v>33175</v>
      </c>
      <c r="P2018" s="235">
        <v>59536</v>
      </c>
      <c r="Q2018" s="235"/>
      <c r="R2018" s="235">
        <v>47296</v>
      </c>
      <c r="S2018" s="236">
        <v>9108</v>
      </c>
      <c r="T2018" s="236">
        <v>1153.9000000000001</v>
      </c>
      <c r="U2018" s="236"/>
      <c r="V2018" s="235">
        <v>127995</v>
      </c>
      <c r="W2018" s="235">
        <v>47986</v>
      </c>
      <c r="X2018" s="235">
        <v>42058</v>
      </c>
      <c r="Y2018" s="235">
        <v>92778</v>
      </c>
      <c r="Z2018" s="235">
        <v>73883</v>
      </c>
    </row>
    <row r="2019" spans="1:26" ht="18" customHeight="1" x14ac:dyDescent="0.2">
      <c r="A2019" s="279">
        <f t="shared" si="2376"/>
        <v>44870</v>
      </c>
      <c r="B2019" s="279" t="s">
        <v>195</v>
      </c>
      <c r="C2019" s="299">
        <f t="shared" si="2409"/>
        <v>0</v>
      </c>
      <c r="D2019" s="300">
        <f t="shared" si="2383"/>
        <v>0</v>
      </c>
      <c r="E2019" s="301">
        <f t="shared" si="2384"/>
        <v>0</v>
      </c>
      <c r="F2019" s="301">
        <f t="shared" si="2410"/>
        <v>0</v>
      </c>
      <c r="G2019" s="302">
        <f t="shared" si="2411"/>
        <v>0</v>
      </c>
      <c r="H2019" s="199"/>
      <c r="I2019" s="199"/>
      <c r="J2019" s="200"/>
      <c r="K2019" s="201"/>
      <c r="L2019" s="276"/>
      <c r="M2019" s="276"/>
      <c r="N2019" s="153">
        <v>78658</v>
      </c>
      <c r="O2019" s="153">
        <v>33175</v>
      </c>
      <c r="P2019" s="153">
        <v>59536</v>
      </c>
      <c r="Q2019" s="153"/>
      <c r="R2019" s="153">
        <v>47296</v>
      </c>
      <c r="S2019" s="154">
        <v>9108</v>
      </c>
      <c r="T2019" s="154">
        <v>1153.9000000000001</v>
      </c>
      <c r="U2019" s="154"/>
      <c r="V2019" s="153">
        <v>127995</v>
      </c>
      <c r="W2019" s="153">
        <v>47986</v>
      </c>
      <c r="X2019" s="153">
        <v>42058</v>
      </c>
      <c r="Y2019" s="153">
        <v>92778</v>
      </c>
      <c r="Z2019" s="153">
        <v>73883</v>
      </c>
    </row>
    <row r="2020" spans="1:26" ht="18" customHeight="1" x14ac:dyDescent="0.2">
      <c r="A2020" s="279">
        <f t="shared" si="2376"/>
        <v>44871</v>
      </c>
      <c r="B2020" s="278" t="s">
        <v>190</v>
      </c>
      <c r="C2020" s="299">
        <f t="shared" si="2409"/>
        <v>2563</v>
      </c>
      <c r="D2020" s="300">
        <f t="shared" si="2383"/>
        <v>2024</v>
      </c>
      <c r="E2020" s="301">
        <f t="shared" si="2384"/>
        <v>2376.0000000000218</v>
      </c>
      <c r="F2020" s="301">
        <f t="shared" si="2410"/>
        <v>269</v>
      </c>
      <c r="G2020" s="302">
        <f t="shared" si="2411"/>
        <v>7232.0000000000218</v>
      </c>
      <c r="H2020" s="199"/>
      <c r="I2020" s="199"/>
      <c r="J2020" s="200"/>
      <c r="K2020" s="201"/>
      <c r="L2020" s="276"/>
      <c r="M2020" s="276"/>
      <c r="N2020" s="153">
        <v>78658</v>
      </c>
      <c r="O2020" s="153">
        <v>33175</v>
      </c>
      <c r="P2020" s="153">
        <v>59536</v>
      </c>
      <c r="Q2020" s="153"/>
      <c r="R2020" s="153">
        <v>47296</v>
      </c>
      <c r="S2020" s="154">
        <v>9108</v>
      </c>
      <c r="T2020" s="154">
        <v>1153.9000000000001</v>
      </c>
      <c r="U2020" s="154"/>
      <c r="V2020" s="153">
        <v>127995</v>
      </c>
      <c r="W2020" s="153">
        <v>47986</v>
      </c>
      <c r="X2020" s="153">
        <v>42058</v>
      </c>
      <c r="Y2020" s="153">
        <v>92778</v>
      </c>
      <c r="Z2020" s="153">
        <v>73883</v>
      </c>
    </row>
    <row r="2021" spans="1:26" ht="18" customHeight="1" x14ac:dyDescent="0.2">
      <c r="A2021" s="279">
        <f t="shared" si="2376"/>
        <v>44872</v>
      </c>
      <c r="B2021" s="280" t="s">
        <v>191</v>
      </c>
      <c r="C2021" s="299">
        <f t="shared" si="2409"/>
        <v>2161</v>
      </c>
      <c r="D2021" s="300">
        <f t="shared" si="2383"/>
        <v>2016</v>
      </c>
      <c r="E2021" s="301">
        <f t="shared" si="2384"/>
        <v>1660</v>
      </c>
      <c r="F2021" s="301">
        <f t="shared" si="2410"/>
        <v>88</v>
      </c>
      <c r="G2021" s="302">
        <f t="shared" si="2411"/>
        <v>5925</v>
      </c>
      <c r="H2021" s="199"/>
      <c r="I2021" s="199"/>
      <c r="J2021" s="200"/>
      <c r="K2021" s="201"/>
      <c r="L2021" s="276"/>
      <c r="M2021" s="276"/>
      <c r="N2021" s="235">
        <v>78761</v>
      </c>
      <c r="O2021" s="235">
        <v>33219</v>
      </c>
      <c r="P2021" s="235">
        <v>59686</v>
      </c>
      <c r="Q2021" s="235"/>
      <c r="R2021" s="235">
        <v>47296</v>
      </c>
      <c r="S2021" s="236">
        <v>9137.1</v>
      </c>
      <c r="T2021" s="236">
        <v>1155.0999999999999</v>
      </c>
      <c r="U2021" s="236"/>
      <c r="V2021" s="235">
        <v>128394</v>
      </c>
      <c r="W2021" s="235">
        <v>48030</v>
      </c>
      <c r="X2021" s="235">
        <v>42121</v>
      </c>
      <c r="Y2021" s="235">
        <v>92778</v>
      </c>
      <c r="Z2021" s="235">
        <v>74152</v>
      </c>
    </row>
    <row r="2022" spans="1:26" ht="18" customHeight="1" x14ac:dyDescent="0.2">
      <c r="A2022" s="279">
        <f t="shared" si="2376"/>
        <v>44873</v>
      </c>
      <c r="B2022" s="280" t="s">
        <v>192</v>
      </c>
      <c r="C2022" s="299">
        <f t="shared" ref="C2022:C2027" si="2412">(V2023-V2022)*1+(W2023-W2022)*32+(X2023-X2022)*12+(Y2023-Y2022)*6</f>
        <v>2055</v>
      </c>
      <c r="D2022" s="300">
        <f t="shared" si="2383"/>
        <v>1944</v>
      </c>
      <c r="E2022" s="301">
        <f t="shared" si="2384"/>
        <v>1511.9999999999163</v>
      </c>
      <c r="F2022" s="301">
        <f t="shared" ref="F2022:F2027" si="2413">(Z2023-Z2022)*1</f>
        <v>81</v>
      </c>
      <c r="G2022" s="302">
        <f t="shared" ref="G2022:G2027" si="2414">C2022+D2022+F2022+E2022</f>
        <v>5591.9999999999163</v>
      </c>
      <c r="H2022" s="199"/>
      <c r="I2022" s="199"/>
      <c r="J2022" s="200"/>
      <c r="K2022" s="201"/>
      <c r="L2022" s="276"/>
      <c r="M2022" s="276"/>
      <c r="N2022" s="235">
        <v>78866</v>
      </c>
      <c r="O2022" s="235">
        <v>33259</v>
      </c>
      <c r="P2022" s="235">
        <v>59833</v>
      </c>
      <c r="Q2022" s="235"/>
      <c r="R2022" s="235">
        <v>47296</v>
      </c>
      <c r="S2022" s="236">
        <v>9157.6</v>
      </c>
      <c r="T2022" s="236">
        <v>1155.5999999999999</v>
      </c>
      <c r="U2022" s="236"/>
      <c r="V2022" s="235">
        <v>128559</v>
      </c>
      <c r="W2022" s="235">
        <v>48062</v>
      </c>
      <c r="X2022" s="235">
        <v>42202</v>
      </c>
      <c r="Y2022" s="235">
        <v>92778</v>
      </c>
      <c r="Z2022" s="235">
        <v>74240</v>
      </c>
    </row>
    <row r="2023" spans="1:26" ht="18" customHeight="1" x14ac:dyDescent="0.2">
      <c r="A2023" s="279">
        <f t="shared" si="2376"/>
        <v>44874</v>
      </c>
      <c r="B2023" s="280" t="s">
        <v>193</v>
      </c>
      <c r="C2023" s="299">
        <f t="shared" si="2412"/>
        <v>2266</v>
      </c>
      <c r="D2023" s="300">
        <f t="shared" si="2383"/>
        <v>1872</v>
      </c>
      <c r="E2023" s="301">
        <f t="shared" si="2384"/>
        <v>1544.0000000000327</v>
      </c>
      <c r="F2023" s="301">
        <f t="shared" si="2413"/>
        <v>81</v>
      </c>
      <c r="G2023" s="302">
        <f t="shared" si="2414"/>
        <v>5763.0000000000327</v>
      </c>
      <c r="H2023" s="199"/>
      <c r="I2023" s="199"/>
      <c r="J2023" s="200"/>
      <c r="K2023" s="201"/>
      <c r="L2023" s="276"/>
      <c r="M2023" s="276"/>
      <c r="N2023" s="235">
        <v>78968</v>
      </c>
      <c r="O2023" s="235">
        <v>33297</v>
      </c>
      <c r="P2023" s="235">
        <v>59974</v>
      </c>
      <c r="Q2023" s="235"/>
      <c r="R2023" s="235">
        <v>47296</v>
      </c>
      <c r="S2023" s="236">
        <v>9176.2999999999993</v>
      </c>
      <c r="T2023" s="236">
        <v>1156</v>
      </c>
      <c r="U2023" s="236"/>
      <c r="V2023" s="235">
        <v>128726</v>
      </c>
      <c r="W2023" s="235">
        <v>48094</v>
      </c>
      <c r="X2023" s="235">
        <v>42274</v>
      </c>
      <c r="Y2023" s="235">
        <v>92778</v>
      </c>
      <c r="Z2023" s="235">
        <v>74321</v>
      </c>
    </row>
    <row r="2024" spans="1:26" ht="18" customHeight="1" x14ac:dyDescent="0.2">
      <c r="A2024" s="279">
        <f t="shared" ref="A2024:A2087" si="2415">A2023+1</f>
        <v>44875</v>
      </c>
      <c r="B2024" s="280" t="s">
        <v>194</v>
      </c>
      <c r="C2024" s="299">
        <f t="shared" si="2412"/>
        <v>2326</v>
      </c>
      <c r="D2024" s="300">
        <f t="shared" si="2383"/>
        <v>2000</v>
      </c>
      <c r="E2024" s="301">
        <f t="shared" si="2384"/>
        <v>1564.0000000000873</v>
      </c>
      <c r="F2024" s="301">
        <f t="shared" si="2413"/>
        <v>61</v>
      </c>
      <c r="G2024" s="302">
        <f t="shared" si="2414"/>
        <v>5951.0000000000873</v>
      </c>
      <c r="H2024" s="199"/>
      <c r="I2024" s="199"/>
      <c r="J2024" s="200"/>
      <c r="K2024" s="201"/>
      <c r="L2024" s="276"/>
      <c r="M2024" s="276"/>
      <c r="N2024" s="235">
        <v>79061</v>
      </c>
      <c r="O2024" s="235">
        <v>33333</v>
      </c>
      <c r="P2024" s="235">
        <v>60115</v>
      </c>
      <c r="Q2024" s="235"/>
      <c r="R2024" s="235">
        <v>47296</v>
      </c>
      <c r="S2024" s="236">
        <v>9195.4</v>
      </c>
      <c r="T2024" s="236">
        <v>1156.4000000000001</v>
      </c>
      <c r="U2024" s="236"/>
      <c r="V2024" s="235">
        <v>128904</v>
      </c>
      <c r="W2024" s="235">
        <v>48133</v>
      </c>
      <c r="X2024" s="235">
        <v>42344</v>
      </c>
      <c r="Y2024" s="235">
        <v>92778</v>
      </c>
      <c r="Z2024" s="235">
        <v>74402</v>
      </c>
    </row>
    <row r="2025" spans="1:26" ht="18" customHeight="1" x14ac:dyDescent="0.2">
      <c r="A2025" s="279">
        <f t="shared" si="2415"/>
        <v>44876</v>
      </c>
      <c r="B2025" s="278" t="s">
        <v>189</v>
      </c>
      <c r="C2025" s="299">
        <f t="shared" si="2412"/>
        <v>0</v>
      </c>
      <c r="D2025" s="300">
        <f t="shared" si="2383"/>
        <v>0</v>
      </c>
      <c r="E2025" s="301">
        <f t="shared" si="2384"/>
        <v>0</v>
      </c>
      <c r="F2025" s="301">
        <f t="shared" si="2413"/>
        <v>0</v>
      </c>
      <c r="G2025" s="302">
        <f t="shared" si="2414"/>
        <v>0</v>
      </c>
      <c r="H2025" s="199"/>
      <c r="I2025" s="199"/>
      <c r="J2025" s="200"/>
      <c r="K2025" s="201"/>
      <c r="L2025" s="276"/>
      <c r="M2025" s="276"/>
      <c r="N2025" s="235">
        <v>79162</v>
      </c>
      <c r="O2025" s="235">
        <v>33373</v>
      </c>
      <c r="P2025" s="235">
        <v>60264</v>
      </c>
      <c r="Q2025" s="235"/>
      <c r="R2025" s="235">
        <v>47296</v>
      </c>
      <c r="S2025" s="236">
        <v>9214.7000000000007</v>
      </c>
      <c r="T2025" s="236">
        <v>1156.9000000000001</v>
      </c>
      <c r="U2025" s="236"/>
      <c r="V2025" s="235">
        <v>129090</v>
      </c>
      <c r="W2025" s="235">
        <v>48174</v>
      </c>
      <c r="X2025" s="235">
        <v>42413</v>
      </c>
      <c r="Y2025" s="235">
        <v>92778</v>
      </c>
      <c r="Z2025" s="235">
        <v>74463</v>
      </c>
    </row>
    <row r="2026" spans="1:26" ht="18" customHeight="1" x14ac:dyDescent="0.2">
      <c r="A2026" s="279">
        <f t="shared" si="2415"/>
        <v>44877</v>
      </c>
      <c r="B2026" s="279" t="s">
        <v>195</v>
      </c>
      <c r="C2026" s="299">
        <f t="shared" si="2412"/>
        <v>0</v>
      </c>
      <c r="D2026" s="300">
        <f t="shared" si="2383"/>
        <v>0</v>
      </c>
      <c r="E2026" s="301">
        <f t="shared" si="2384"/>
        <v>0</v>
      </c>
      <c r="F2026" s="301">
        <f t="shared" si="2413"/>
        <v>0</v>
      </c>
      <c r="G2026" s="302">
        <f t="shared" si="2414"/>
        <v>0</v>
      </c>
      <c r="H2026" s="199"/>
      <c r="I2026" s="199"/>
      <c r="J2026" s="200"/>
      <c r="K2026" s="201"/>
      <c r="L2026" s="276"/>
      <c r="M2026" s="276"/>
      <c r="N2026" s="153">
        <v>79162</v>
      </c>
      <c r="O2026" s="153">
        <v>33373</v>
      </c>
      <c r="P2026" s="153">
        <v>60264</v>
      </c>
      <c r="Q2026" s="153"/>
      <c r="R2026" s="153">
        <v>47296</v>
      </c>
      <c r="S2026" s="154">
        <v>9214.7000000000007</v>
      </c>
      <c r="T2026" s="154">
        <v>1156.9000000000001</v>
      </c>
      <c r="U2026" s="154"/>
      <c r="V2026" s="153">
        <v>129090</v>
      </c>
      <c r="W2026" s="153">
        <v>48174</v>
      </c>
      <c r="X2026" s="153">
        <v>42413</v>
      </c>
      <c r="Y2026" s="153">
        <v>92778</v>
      </c>
      <c r="Z2026" s="153">
        <v>74463</v>
      </c>
    </row>
    <row r="2027" spans="1:26" ht="18" customHeight="1" x14ac:dyDescent="0.2">
      <c r="A2027" s="279">
        <f t="shared" si="2415"/>
        <v>44878</v>
      </c>
      <c r="B2027" s="278" t="s">
        <v>190</v>
      </c>
      <c r="C2027" s="299">
        <f t="shared" si="2412"/>
        <v>2886</v>
      </c>
      <c r="D2027" s="300">
        <f t="shared" si="2383"/>
        <v>1928</v>
      </c>
      <c r="E2027" s="301">
        <f t="shared" si="2384"/>
        <v>1711.9999999998799</v>
      </c>
      <c r="F2027" s="301">
        <f t="shared" si="2413"/>
        <v>186</v>
      </c>
      <c r="G2027" s="302">
        <f t="shared" si="2414"/>
        <v>6711.9999999998799</v>
      </c>
      <c r="H2027" s="199"/>
      <c r="I2027" s="199"/>
      <c r="J2027" s="200"/>
      <c r="K2027" s="201"/>
      <c r="L2027" s="276"/>
      <c r="M2027" s="276"/>
      <c r="N2027" s="153">
        <v>79162</v>
      </c>
      <c r="O2027" s="153">
        <v>33373</v>
      </c>
      <c r="P2027" s="153">
        <v>60264</v>
      </c>
      <c r="Q2027" s="153"/>
      <c r="R2027" s="153">
        <v>47296</v>
      </c>
      <c r="S2027" s="154">
        <v>9214.7000000000007</v>
      </c>
      <c r="T2027" s="154">
        <v>1156.9000000000001</v>
      </c>
      <c r="U2027" s="154"/>
      <c r="V2027" s="153">
        <v>129090</v>
      </c>
      <c r="W2027" s="153">
        <v>48174</v>
      </c>
      <c r="X2027" s="153">
        <v>42413</v>
      </c>
      <c r="Y2027" s="153">
        <v>92778</v>
      </c>
      <c r="Z2027" s="153">
        <v>74463</v>
      </c>
    </row>
    <row r="2028" spans="1:26" ht="18" customHeight="1" x14ac:dyDescent="0.2">
      <c r="A2028" s="279">
        <f t="shared" si="2415"/>
        <v>44879</v>
      </c>
      <c r="B2028" s="280" t="s">
        <v>191</v>
      </c>
      <c r="C2028" s="299">
        <f t="shared" ref="C2028:C2035" si="2416">(V2029-V2028)*1+(W2029-W2028)*32+(X2029-X2028)*12+(Y2029-Y2028)*6</f>
        <v>2122</v>
      </c>
      <c r="D2028" s="300">
        <f t="shared" si="2383"/>
        <v>2024</v>
      </c>
      <c r="E2028" s="301">
        <f t="shared" si="2384"/>
        <v>1540</v>
      </c>
      <c r="F2028" s="301">
        <f t="shared" ref="F2028:F2035" si="2417">(Z2029-Z2028)*1</f>
        <v>67</v>
      </c>
      <c r="G2028" s="302">
        <f t="shared" ref="G2028:G2035" si="2418">C2028+D2028+F2028+E2028</f>
        <v>5753</v>
      </c>
      <c r="H2028" s="199"/>
      <c r="I2028" s="199"/>
      <c r="J2028" s="200"/>
      <c r="K2028" s="201"/>
      <c r="L2028" s="276"/>
      <c r="M2028" s="276"/>
      <c r="N2028" s="235">
        <v>79264</v>
      </c>
      <c r="O2028" s="235">
        <v>33415</v>
      </c>
      <c r="P2028" s="235">
        <v>60403</v>
      </c>
      <c r="Q2028" s="235"/>
      <c r="R2028" s="235">
        <v>47296</v>
      </c>
      <c r="S2028" s="236">
        <v>9235.7999999999993</v>
      </c>
      <c r="T2028" s="236">
        <v>1157.5</v>
      </c>
      <c r="U2028" s="236"/>
      <c r="V2028" s="235">
        <v>129536</v>
      </c>
      <c r="W2028" s="235">
        <v>48227</v>
      </c>
      <c r="X2028" s="235">
        <v>42475</v>
      </c>
      <c r="Y2028" s="235">
        <v>92778</v>
      </c>
      <c r="Z2028" s="235">
        <v>74649</v>
      </c>
    </row>
    <row r="2029" spans="1:26" ht="18" customHeight="1" x14ac:dyDescent="0.2">
      <c r="A2029" s="279">
        <f t="shared" si="2415"/>
        <v>44880</v>
      </c>
      <c r="B2029" s="280" t="s">
        <v>192</v>
      </c>
      <c r="C2029" s="299">
        <f t="shared" si="2416"/>
        <v>2041</v>
      </c>
      <c r="D2029" s="300">
        <f t="shared" si="2383"/>
        <v>2000</v>
      </c>
      <c r="E2029" s="301">
        <f t="shared" si="2384"/>
        <v>1680.0000000000909</v>
      </c>
      <c r="F2029" s="301">
        <f t="shared" si="2417"/>
        <v>69</v>
      </c>
      <c r="G2029" s="302">
        <f t="shared" si="2418"/>
        <v>5790.0000000000909</v>
      </c>
      <c r="H2029" s="199"/>
      <c r="I2029" s="199"/>
      <c r="J2029" s="200"/>
      <c r="K2029" s="201"/>
      <c r="L2029" s="276"/>
      <c r="M2029" s="276"/>
      <c r="N2029" s="235">
        <v>79378</v>
      </c>
      <c r="O2029" s="235">
        <v>33457</v>
      </c>
      <c r="P2029" s="235">
        <v>60542</v>
      </c>
      <c r="Q2029" s="235"/>
      <c r="R2029" s="235">
        <v>47296</v>
      </c>
      <c r="S2029" s="236">
        <v>9254.7999999999993</v>
      </c>
      <c r="T2029" s="236">
        <v>1158</v>
      </c>
      <c r="U2029" s="236"/>
      <c r="V2029" s="235">
        <v>129710</v>
      </c>
      <c r="W2029" s="235">
        <v>48262</v>
      </c>
      <c r="X2029" s="235">
        <v>42544</v>
      </c>
      <c r="Y2029" s="235">
        <v>92778</v>
      </c>
      <c r="Z2029" s="235">
        <v>74716</v>
      </c>
    </row>
    <row r="2030" spans="1:26" ht="18" customHeight="1" x14ac:dyDescent="0.2">
      <c r="A2030" s="279">
        <f t="shared" si="2415"/>
        <v>44881</v>
      </c>
      <c r="B2030" s="280" t="s">
        <v>193</v>
      </c>
      <c r="C2030" s="299">
        <f t="shared" si="2416"/>
        <v>1917</v>
      </c>
      <c r="D2030" s="300">
        <f t="shared" si="2383"/>
        <v>2096</v>
      </c>
      <c r="E2030" s="301">
        <f t="shared" si="2384"/>
        <v>1755.9999999999127</v>
      </c>
      <c r="F2030" s="301">
        <f t="shared" si="2417"/>
        <v>88</v>
      </c>
      <c r="G2030" s="302">
        <f t="shared" si="2418"/>
        <v>5856.9999999999127</v>
      </c>
      <c r="H2030" s="199"/>
      <c r="I2030" s="199"/>
      <c r="J2030" s="200"/>
      <c r="K2030" s="201"/>
      <c r="L2030" s="276"/>
      <c r="M2030" s="276"/>
      <c r="N2030" s="235">
        <v>79493</v>
      </c>
      <c r="O2030" s="235">
        <v>33503</v>
      </c>
      <c r="P2030" s="235">
        <v>60677</v>
      </c>
      <c r="Q2030" s="235"/>
      <c r="R2030" s="235">
        <v>47296</v>
      </c>
      <c r="S2030" s="236">
        <v>9275.6</v>
      </c>
      <c r="T2030" s="236">
        <v>1158.4000000000001</v>
      </c>
      <c r="U2030" s="236"/>
      <c r="V2030" s="235">
        <v>129891</v>
      </c>
      <c r="W2030" s="235">
        <v>48298</v>
      </c>
      <c r="X2030" s="235">
        <v>42603</v>
      </c>
      <c r="Y2030" s="235">
        <v>92778</v>
      </c>
      <c r="Z2030" s="235">
        <v>74785</v>
      </c>
    </row>
    <row r="2031" spans="1:26" ht="18" customHeight="1" x14ac:dyDescent="0.2">
      <c r="A2031" s="279">
        <f t="shared" si="2415"/>
        <v>44882</v>
      </c>
      <c r="B2031" s="280" t="s">
        <v>194</v>
      </c>
      <c r="C2031" s="299">
        <f t="shared" si="2416"/>
        <v>1618</v>
      </c>
      <c r="D2031" s="300">
        <f t="shared" ref="D2031:D2062" si="2419">(N2032-N2031)*8+(P2032-P2031)*8+(R2032-R2031)*1</f>
        <v>2504</v>
      </c>
      <c r="E2031" s="301">
        <f t="shared" ref="E2031:E2094" si="2420">(S2032-S2031)*80+(T2032-T2031)*40</f>
        <v>1855.9999999999945</v>
      </c>
      <c r="F2031" s="301">
        <f t="shared" si="2417"/>
        <v>55</v>
      </c>
      <c r="G2031" s="302">
        <f t="shared" si="2418"/>
        <v>6032.9999999999945</v>
      </c>
      <c r="H2031" s="199"/>
      <c r="I2031" s="199"/>
      <c r="J2031" s="200"/>
      <c r="K2031" s="201"/>
      <c r="L2031" s="276"/>
      <c r="M2031" s="276"/>
      <c r="N2031" s="235">
        <v>79623</v>
      </c>
      <c r="O2031" s="235">
        <v>33553</v>
      </c>
      <c r="P2031" s="235">
        <v>60809</v>
      </c>
      <c r="Q2031" s="235"/>
      <c r="R2031" s="235">
        <v>47296</v>
      </c>
      <c r="S2031" s="236">
        <v>9297.2999999999993</v>
      </c>
      <c r="T2031" s="236">
        <v>1158.9000000000001</v>
      </c>
      <c r="U2031" s="236"/>
      <c r="V2031" s="235">
        <v>130064</v>
      </c>
      <c r="W2031" s="235">
        <v>48330</v>
      </c>
      <c r="X2031" s="235">
        <v>42663</v>
      </c>
      <c r="Y2031" s="235">
        <v>92778</v>
      </c>
      <c r="Z2031" s="235">
        <v>74873</v>
      </c>
    </row>
    <row r="2032" spans="1:26" ht="18" customHeight="1" x14ac:dyDescent="0.2">
      <c r="A2032" s="279">
        <f t="shared" si="2415"/>
        <v>44883</v>
      </c>
      <c r="B2032" s="278" t="s">
        <v>189</v>
      </c>
      <c r="C2032" s="299">
        <f t="shared" si="2416"/>
        <v>0</v>
      </c>
      <c r="D2032" s="300">
        <f t="shared" si="2419"/>
        <v>0</v>
      </c>
      <c r="E2032" s="301">
        <f t="shared" si="2420"/>
        <v>0</v>
      </c>
      <c r="F2032" s="301">
        <f t="shared" si="2417"/>
        <v>0</v>
      </c>
      <c r="G2032" s="302">
        <f t="shared" si="2418"/>
        <v>0</v>
      </c>
      <c r="H2032" s="199"/>
      <c r="I2032" s="199"/>
      <c r="J2032" s="200"/>
      <c r="K2032" s="201"/>
      <c r="L2032" s="276"/>
      <c r="M2032" s="276"/>
      <c r="N2032" s="235">
        <v>79779</v>
      </c>
      <c r="O2032" s="235">
        <v>33613</v>
      </c>
      <c r="P2032" s="235">
        <v>60966</v>
      </c>
      <c r="Q2032" s="235"/>
      <c r="R2032" s="235">
        <v>47296</v>
      </c>
      <c r="S2032" s="236">
        <v>9320.2999999999993</v>
      </c>
      <c r="T2032" s="236">
        <v>1159.3</v>
      </c>
      <c r="U2032" s="236"/>
      <c r="V2032" s="235">
        <v>130234</v>
      </c>
      <c r="W2032" s="235">
        <v>48361</v>
      </c>
      <c r="X2032" s="235">
        <v>42701</v>
      </c>
      <c r="Y2032" s="235">
        <v>92778</v>
      </c>
      <c r="Z2032" s="235">
        <v>74928</v>
      </c>
    </row>
    <row r="2033" spans="1:26" ht="18" customHeight="1" x14ac:dyDescent="0.2">
      <c r="A2033" s="279">
        <f t="shared" si="2415"/>
        <v>44884</v>
      </c>
      <c r="B2033" s="279" t="s">
        <v>195</v>
      </c>
      <c r="C2033" s="299">
        <f t="shared" si="2416"/>
        <v>0</v>
      </c>
      <c r="D2033" s="300">
        <f t="shared" si="2419"/>
        <v>0</v>
      </c>
      <c r="E2033" s="301">
        <f t="shared" si="2420"/>
        <v>0</v>
      </c>
      <c r="F2033" s="301">
        <f t="shared" si="2417"/>
        <v>0</v>
      </c>
      <c r="G2033" s="302">
        <f t="shared" si="2418"/>
        <v>0</v>
      </c>
      <c r="H2033" s="199"/>
      <c r="I2033" s="199"/>
      <c r="J2033" s="200"/>
      <c r="K2033" s="201"/>
      <c r="L2033" s="276"/>
      <c r="M2033" s="276"/>
      <c r="N2033" s="153">
        <v>79779</v>
      </c>
      <c r="O2033" s="153">
        <v>33613</v>
      </c>
      <c r="P2033" s="153">
        <v>60966</v>
      </c>
      <c r="Q2033" s="153"/>
      <c r="R2033" s="153">
        <v>47296</v>
      </c>
      <c r="S2033" s="154">
        <v>9320.2999999999993</v>
      </c>
      <c r="T2033" s="154">
        <v>1159.3</v>
      </c>
      <c r="U2033" s="154"/>
      <c r="V2033" s="153">
        <v>130234</v>
      </c>
      <c r="W2033" s="153">
        <v>48361</v>
      </c>
      <c r="X2033" s="153">
        <v>42701</v>
      </c>
      <c r="Y2033" s="153">
        <v>92778</v>
      </c>
      <c r="Z2033" s="153">
        <v>74928</v>
      </c>
    </row>
    <row r="2034" spans="1:26" ht="18" customHeight="1" x14ac:dyDescent="0.2">
      <c r="A2034" s="279">
        <f t="shared" si="2415"/>
        <v>44885</v>
      </c>
      <c r="B2034" s="278" t="s">
        <v>190</v>
      </c>
      <c r="C2034" s="299">
        <f t="shared" si="2416"/>
        <v>2280</v>
      </c>
      <c r="D2034" s="300">
        <f t="shared" si="2419"/>
        <v>4368</v>
      </c>
      <c r="E2034" s="301">
        <f t="shared" si="2420"/>
        <v>2092.0000000000618</v>
      </c>
      <c r="F2034" s="301">
        <f t="shared" si="2417"/>
        <v>180</v>
      </c>
      <c r="G2034" s="302">
        <f t="shared" si="2418"/>
        <v>8920.0000000000618</v>
      </c>
      <c r="H2034" s="199"/>
      <c r="I2034" s="199"/>
      <c r="J2034" s="200"/>
      <c r="K2034" s="201"/>
      <c r="L2034" s="276"/>
      <c r="M2034" s="276"/>
      <c r="N2034" s="153">
        <v>79779</v>
      </c>
      <c r="O2034" s="153">
        <v>33613</v>
      </c>
      <c r="P2034" s="153">
        <v>60966</v>
      </c>
      <c r="Q2034" s="153"/>
      <c r="R2034" s="153">
        <v>47296</v>
      </c>
      <c r="S2034" s="154">
        <v>9320.2999999999993</v>
      </c>
      <c r="T2034" s="154">
        <v>1159.3</v>
      </c>
      <c r="U2034" s="154"/>
      <c r="V2034" s="153">
        <v>130234</v>
      </c>
      <c r="W2034" s="153">
        <v>48361</v>
      </c>
      <c r="X2034" s="153">
        <v>42701</v>
      </c>
      <c r="Y2034" s="153">
        <v>92778</v>
      </c>
      <c r="Z2034" s="153">
        <v>74928</v>
      </c>
    </row>
    <row r="2035" spans="1:26" ht="18" customHeight="1" x14ac:dyDescent="0.2">
      <c r="A2035" s="279">
        <f t="shared" si="2415"/>
        <v>44886</v>
      </c>
      <c r="B2035" s="280" t="s">
        <v>191</v>
      </c>
      <c r="C2035" s="299">
        <f t="shared" si="2416"/>
        <v>1937</v>
      </c>
      <c r="D2035" s="300">
        <f t="shared" si="2419"/>
        <v>2464</v>
      </c>
      <c r="E2035" s="301">
        <f t="shared" si="2420"/>
        <v>1556.0000000000582</v>
      </c>
      <c r="F2035" s="301">
        <f t="shared" si="2417"/>
        <v>65</v>
      </c>
      <c r="G2035" s="302">
        <f t="shared" si="2418"/>
        <v>6022.0000000000582</v>
      </c>
      <c r="H2035" s="199"/>
      <c r="I2035" s="199"/>
      <c r="J2035" s="200"/>
      <c r="K2035" s="201"/>
      <c r="L2035" s="276"/>
      <c r="M2035" s="276"/>
      <c r="N2035" s="235">
        <v>80038</v>
      </c>
      <c r="O2035" s="235">
        <v>33716</v>
      </c>
      <c r="P2035" s="235">
        <v>61253</v>
      </c>
      <c r="Q2035" s="235"/>
      <c r="R2035" s="235">
        <v>47296</v>
      </c>
      <c r="S2035" s="236">
        <v>9346</v>
      </c>
      <c r="T2035" s="236">
        <v>1160.2</v>
      </c>
      <c r="U2035" s="236"/>
      <c r="V2035" s="235">
        <v>130650</v>
      </c>
      <c r="W2035" s="235">
        <v>48405</v>
      </c>
      <c r="X2035" s="235">
        <v>42739</v>
      </c>
      <c r="Y2035" s="235">
        <v>92778</v>
      </c>
      <c r="Z2035" s="235">
        <v>75108</v>
      </c>
    </row>
    <row r="2036" spans="1:26" ht="18" customHeight="1" x14ac:dyDescent="0.2">
      <c r="A2036" s="279">
        <f t="shared" si="2415"/>
        <v>44887</v>
      </c>
      <c r="B2036" s="280" t="s">
        <v>192</v>
      </c>
      <c r="C2036" s="299">
        <f t="shared" ref="C2036:C2041" si="2421">(V2037-V2036)*1+(W2037-W2036)*32+(X2037-X2036)*12+(Y2037-Y2036)*6</f>
        <v>0</v>
      </c>
      <c r="D2036" s="300">
        <f t="shared" si="2419"/>
        <v>0</v>
      </c>
      <c r="E2036" s="301">
        <f t="shared" si="2420"/>
        <v>0</v>
      </c>
      <c r="F2036" s="301">
        <f t="shared" ref="F2036:F2041" si="2422">(Z2037-Z2036)*1</f>
        <v>0</v>
      </c>
      <c r="G2036" s="302">
        <f t="shared" ref="G2036:G2041" si="2423">C2036+D2036+F2036+E2036</f>
        <v>0</v>
      </c>
      <c r="H2036" s="199"/>
      <c r="I2036" s="199"/>
      <c r="J2036" s="200"/>
      <c r="K2036" s="201"/>
      <c r="L2036" s="276"/>
      <c r="M2036" s="276"/>
      <c r="N2036" s="235">
        <v>80203</v>
      </c>
      <c r="O2036" s="235">
        <v>33779</v>
      </c>
      <c r="P2036" s="235">
        <v>61396</v>
      </c>
      <c r="Q2036" s="235"/>
      <c r="R2036" s="235">
        <v>47296</v>
      </c>
      <c r="S2036" s="236">
        <v>9365.2000000000007</v>
      </c>
      <c r="T2036" s="236">
        <v>1160.7</v>
      </c>
      <c r="U2036" s="236"/>
      <c r="V2036" s="235">
        <v>130823</v>
      </c>
      <c r="W2036" s="235">
        <v>48438</v>
      </c>
      <c r="X2036" s="235">
        <v>42798</v>
      </c>
      <c r="Y2036" s="235">
        <v>92778</v>
      </c>
      <c r="Z2036" s="235">
        <v>75173</v>
      </c>
    </row>
    <row r="2037" spans="1:26" ht="18" customHeight="1" x14ac:dyDescent="0.2">
      <c r="A2037" s="279">
        <f t="shared" si="2415"/>
        <v>44888</v>
      </c>
      <c r="B2037" s="280" t="s">
        <v>193</v>
      </c>
      <c r="C2037" s="299">
        <f t="shared" si="2421"/>
        <v>3188</v>
      </c>
      <c r="D2037" s="300">
        <f t="shared" si="2419"/>
        <v>4880</v>
      </c>
      <c r="E2037" s="301">
        <f t="shared" si="2420"/>
        <v>3231.9999999999982</v>
      </c>
      <c r="F2037" s="301">
        <f t="shared" si="2422"/>
        <v>133</v>
      </c>
      <c r="G2037" s="302">
        <f t="shared" si="2423"/>
        <v>11432.999999999998</v>
      </c>
      <c r="H2037" s="199"/>
      <c r="I2037" s="199"/>
      <c r="J2037" s="200"/>
      <c r="K2037" s="201"/>
      <c r="L2037" s="276"/>
      <c r="M2037" s="276"/>
      <c r="N2037" s="288">
        <v>80203</v>
      </c>
      <c r="O2037" s="288">
        <v>33779</v>
      </c>
      <c r="P2037" s="288">
        <v>61396</v>
      </c>
      <c r="Q2037" s="288"/>
      <c r="R2037" s="288">
        <v>47296</v>
      </c>
      <c r="S2037" s="289">
        <v>9365.2000000000007</v>
      </c>
      <c r="T2037" s="289">
        <v>1160.7</v>
      </c>
      <c r="U2037" s="289"/>
      <c r="V2037" s="288">
        <v>130823</v>
      </c>
      <c r="W2037" s="288">
        <v>48438</v>
      </c>
      <c r="X2037" s="288">
        <v>42798</v>
      </c>
      <c r="Y2037" s="288">
        <v>92778</v>
      </c>
      <c r="Z2037" s="288">
        <v>75173</v>
      </c>
    </row>
    <row r="2038" spans="1:26" ht="18" customHeight="1" x14ac:dyDescent="0.2">
      <c r="A2038" s="279">
        <f t="shared" si="2415"/>
        <v>44889</v>
      </c>
      <c r="B2038" s="280" t="s">
        <v>194</v>
      </c>
      <c r="C2038" s="299">
        <f t="shared" si="2421"/>
        <v>1486</v>
      </c>
      <c r="D2038" s="300">
        <f t="shared" si="2419"/>
        <v>2552</v>
      </c>
      <c r="E2038" s="301">
        <f t="shared" si="2420"/>
        <v>1587.9999999998836</v>
      </c>
      <c r="F2038" s="301">
        <f t="shared" si="2422"/>
        <v>66</v>
      </c>
      <c r="G2038" s="302">
        <f t="shared" si="2423"/>
        <v>5691.9999999998836</v>
      </c>
      <c r="H2038" s="199"/>
      <c r="I2038" s="199"/>
      <c r="J2038" s="200"/>
      <c r="K2038" s="201"/>
      <c r="L2038" s="276"/>
      <c r="M2038" s="276"/>
      <c r="N2038" s="235">
        <v>80525</v>
      </c>
      <c r="O2038" s="235">
        <v>33903</v>
      </c>
      <c r="P2038" s="235">
        <v>61684</v>
      </c>
      <c r="Q2038" s="235"/>
      <c r="R2038" s="235">
        <v>47296</v>
      </c>
      <c r="S2038" s="236">
        <v>9405.2000000000007</v>
      </c>
      <c r="T2038" s="236">
        <v>1161.5</v>
      </c>
      <c r="U2038" s="236"/>
      <c r="V2038" s="235">
        <v>131171</v>
      </c>
      <c r="W2038" s="235">
        <v>48496</v>
      </c>
      <c r="X2038" s="235">
        <v>42880</v>
      </c>
      <c r="Y2038" s="235">
        <v>92778</v>
      </c>
      <c r="Z2038" s="235">
        <v>75306</v>
      </c>
    </row>
    <row r="2039" spans="1:26" ht="18" customHeight="1" x14ac:dyDescent="0.2">
      <c r="A2039" s="279">
        <f t="shared" si="2415"/>
        <v>44890</v>
      </c>
      <c r="B2039" s="278" t="s">
        <v>189</v>
      </c>
      <c r="C2039" s="299">
        <f t="shared" si="2421"/>
        <v>0</v>
      </c>
      <c r="D2039" s="300">
        <f t="shared" si="2419"/>
        <v>0</v>
      </c>
      <c r="E2039" s="301">
        <f t="shared" si="2420"/>
        <v>0</v>
      </c>
      <c r="F2039" s="301">
        <f t="shared" si="2422"/>
        <v>0</v>
      </c>
      <c r="G2039" s="302">
        <f t="shared" si="2423"/>
        <v>0</v>
      </c>
      <c r="H2039" s="199"/>
      <c r="I2039" s="199"/>
      <c r="J2039" s="200"/>
      <c r="K2039" s="201"/>
      <c r="L2039" s="276"/>
      <c r="M2039" s="276"/>
      <c r="N2039" s="235">
        <v>80690</v>
      </c>
      <c r="O2039" s="235">
        <v>33968</v>
      </c>
      <c r="P2039" s="235">
        <v>61838</v>
      </c>
      <c r="Q2039" s="235"/>
      <c r="R2039" s="235">
        <v>47296</v>
      </c>
      <c r="S2039" s="236">
        <v>9424.7999999999993</v>
      </c>
      <c r="T2039" s="236">
        <v>1162</v>
      </c>
      <c r="U2039" s="236"/>
      <c r="V2039" s="235">
        <v>131329</v>
      </c>
      <c r="W2039" s="235">
        <v>48518</v>
      </c>
      <c r="X2039" s="235">
        <v>42932</v>
      </c>
      <c r="Y2039" s="235">
        <v>92778</v>
      </c>
      <c r="Z2039" s="235">
        <v>75372</v>
      </c>
    </row>
    <row r="2040" spans="1:26" ht="18" customHeight="1" x14ac:dyDescent="0.2">
      <c r="A2040" s="279">
        <f t="shared" si="2415"/>
        <v>44891</v>
      </c>
      <c r="B2040" s="279" t="s">
        <v>195</v>
      </c>
      <c r="C2040" s="299">
        <f t="shared" si="2421"/>
        <v>0</v>
      </c>
      <c r="D2040" s="300">
        <f t="shared" si="2419"/>
        <v>0</v>
      </c>
      <c r="E2040" s="301">
        <f t="shared" si="2420"/>
        <v>0</v>
      </c>
      <c r="F2040" s="301">
        <f t="shared" si="2422"/>
        <v>0</v>
      </c>
      <c r="G2040" s="302">
        <f t="shared" si="2423"/>
        <v>0</v>
      </c>
      <c r="H2040" s="199"/>
      <c r="I2040" s="199"/>
      <c r="J2040" s="200"/>
      <c r="K2040" s="201"/>
      <c r="L2040" s="276"/>
      <c r="M2040" s="276"/>
      <c r="N2040" s="288">
        <v>80690</v>
      </c>
      <c r="O2040" s="288">
        <v>33968</v>
      </c>
      <c r="P2040" s="288">
        <v>61838</v>
      </c>
      <c r="Q2040" s="288"/>
      <c r="R2040" s="288">
        <v>47296</v>
      </c>
      <c r="S2040" s="289">
        <v>9424.7999999999993</v>
      </c>
      <c r="T2040" s="289">
        <v>1162</v>
      </c>
      <c r="U2040" s="289"/>
      <c r="V2040" s="288">
        <v>131329</v>
      </c>
      <c r="W2040" s="288">
        <v>48518</v>
      </c>
      <c r="X2040" s="288">
        <v>42932</v>
      </c>
      <c r="Y2040" s="288">
        <v>92778</v>
      </c>
      <c r="Z2040" s="288">
        <v>75372</v>
      </c>
    </row>
    <row r="2041" spans="1:26" ht="18" customHeight="1" x14ac:dyDescent="0.2">
      <c r="A2041" s="279">
        <f t="shared" si="2415"/>
        <v>44892</v>
      </c>
      <c r="B2041" s="278" t="s">
        <v>190</v>
      </c>
      <c r="C2041" s="299">
        <f t="shared" si="2421"/>
        <v>2335</v>
      </c>
      <c r="D2041" s="300">
        <f t="shared" si="2419"/>
        <v>3952</v>
      </c>
      <c r="E2041" s="301">
        <f t="shared" si="2420"/>
        <v>1992.0000000001164</v>
      </c>
      <c r="F2041" s="301">
        <f t="shared" si="2422"/>
        <v>136</v>
      </c>
      <c r="G2041" s="302">
        <f t="shared" si="2423"/>
        <v>8415.0000000001164</v>
      </c>
      <c r="H2041" s="199"/>
      <c r="I2041" s="199"/>
      <c r="J2041" s="200"/>
      <c r="K2041" s="201"/>
      <c r="L2041" s="276"/>
      <c r="M2041" s="276"/>
      <c r="N2041" s="288">
        <v>80690</v>
      </c>
      <c r="O2041" s="288">
        <v>33968</v>
      </c>
      <c r="P2041" s="288">
        <v>61838</v>
      </c>
      <c r="Q2041" s="288"/>
      <c r="R2041" s="288">
        <v>47296</v>
      </c>
      <c r="S2041" s="289">
        <v>9424.7999999999993</v>
      </c>
      <c r="T2041" s="289">
        <v>1162</v>
      </c>
      <c r="U2041" s="289"/>
      <c r="V2041" s="288">
        <v>131329</v>
      </c>
      <c r="W2041" s="288">
        <v>48518</v>
      </c>
      <c r="X2041" s="288">
        <v>42932</v>
      </c>
      <c r="Y2041" s="288">
        <v>92778</v>
      </c>
      <c r="Z2041" s="288">
        <v>75372</v>
      </c>
    </row>
    <row r="2042" spans="1:26" ht="18" customHeight="1" x14ac:dyDescent="0.2">
      <c r="A2042" s="279">
        <f t="shared" si="2415"/>
        <v>44893</v>
      </c>
      <c r="B2042" s="280" t="s">
        <v>191</v>
      </c>
      <c r="C2042" s="299">
        <f t="shared" ref="C2042:C2048" si="2424">(V2043-V2042)*1+(W2043-W2042)*32+(X2043-X2042)*12+(Y2043-Y2042)*6</f>
        <v>2348</v>
      </c>
      <c r="D2042" s="300">
        <f t="shared" si="2419"/>
        <v>2384</v>
      </c>
      <c r="E2042" s="301">
        <f t="shared" si="2420"/>
        <v>1831.9999999999163</v>
      </c>
      <c r="F2042" s="301">
        <f t="shared" ref="F2042:F2048" si="2425">(Z2043-Z2042)*1</f>
        <v>49</v>
      </c>
      <c r="G2042" s="302">
        <f t="shared" ref="G2042:G2048" si="2426">C2042+D2042+F2042+E2042</f>
        <v>6612.9999999999163</v>
      </c>
      <c r="H2042" s="199"/>
      <c r="I2042" s="199"/>
      <c r="J2042" s="200"/>
      <c r="K2042" s="201"/>
      <c r="L2042" s="276"/>
      <c r="M2042" s="276"/>
      <c r="N2042" s="235">
        <v>80922</v>
      </c>
      <c r="O2042" s="235">
        <v>34052</v>
      </c>
      <c r="P2042" s="235">
        <v>62100</v>
      </c>
      <c r="Q2042" s="235"/>
      <c r="R2042" s="235">
        <v>47296</v>
      </c>
      <c r="S2042" s="236">
        <v>9449.2000000000007</v>
      </c>
      <c r="T2042" s="236">
        <v>1163</v>
      </c>
      <c r="U2042" s="236"/>
      <c r="V2042" s="235">
        <v>131736</v>
      </c>
      <c r="W2042" s="235">
        <v>48561</v>
      </c>
      <c r="X2042" s="235">
        <v>42978</v>
      </c>
      <c r="Y2042" s="235">
        <v>92778</v>
      </c>
      <c r="Z2042" s="235">
        <v>75508</v>
      </c>
    </row>
    <row r="2043" spans="1:26" ht="18" customHeight="1" x14ac:dyDescent="0.2">
      <c r="A2043" s="279">
        <f t="shared" si="2415"/>
        <v>44894</v>
      </c>
      <c r="B2043" s="280" t="s">
        <v>192</v>
      </c>
      <c r="C2043" s="299">
        <f t="shared" si="2424"/>
        <v>2430</v>
      </c>
      <c r="D2043" s="300">
        <f t="shared" si="2419"/>
        <v>2376</v>
      </c>
      <c r="E2043" s="301">
        <f t="shared" si="2420"/>
        <v>1640.0000000000819</v>
      </c>
      <c r="F2043" s="301">
        <f t="shared" si="2425"/>
        <v>50</v>
      </c>
      <c r="G2043" s="302">
        <f t="shared" si="2426"/>
        <v>6496.0000000000819</v>
      </c>
      <c r="H2043" s="199"/>
      <c r="I2043" s="199"/>
      <c r="J2043" s="200"/>
      <c r="K2043" s="201"/>
      <c r="L2043" s="276"/>
      <c r="M2043" s="276"/>
      <c r="N2043" s="235">
        <v>81073</v>
      </c>
      <c r="O2043" s="235">
        <v>34110</v>
      </c>
      <c r="P2043" s="235">
        <v>62247</v>
      </c>
      <c r="Q2043" s="235"/>
      <c r="R2043" s="235">
        <v>47296</v>
      </c>
      <c r="S2043" s="236">
        <v>9471.9</v>
      </c>
      <c r="T2043" s="236">
        <v>1163.4000000000001</v>
      </c>
      <c r="U2043" s="236"/>
      <c r="V2043" s="235">
        <v>131932</v>
      </c>
      <c r="W2043" s="235">
        <v>48602</v>
      </c>
      <c r="X2043" s="235">
        <v>43048</v>
      </c>
      <c r="Y2043" s="235">
        <v>92778</v>
      </c>
      <c r="Z2043" s="235">
        <v>75557</v>
      </c>
    </row>
    <row r="2044" spans="1:26" ht="18" customHeight="1" x14ac:dyDescent="0.2">
      <c r="A2044" s="279">
        <f t="shared" si="2415"/>
        <v>44895</v>
      </c>
      <c r="B2044" s="280" t="s">
        <v>193</v>
      </c>
      <c r="C2044" s="299">
        <f t="shared" si="2424"/>
        <v>1973</v>
      </c>
      <c r="D2044" s="300">
        <f t="shared" si="2419"/>
        <v>2488</v>
      </c>
      <c r="E2044" s="301">
        <f t="shared" si="2420"/>
        <v>1683.9999999999691</v>
      </c>
      <c r="F2044" s="301">
        <f t="shared" si="2425"/>
        <v>49</v>
      </c>
      <c r="G2044" s="302">
        <f t="shared" si="2426"/>
        <v>6193.9999999999691</v>
      </c>
      <c r="H2044" s="199"/>
      <c r="I2044" s="199"/>
      <c r="J2044" s="200"/>
      <c r="K2044" s="201"/>
      <c r="L2044" s="276"/>
      <c r="M2044" s="276"/>
      <c r="N2044" s="235">
        <v>81217</v>
      </c>
      <c r="O2044" s="235">
        <v>34165</v>
      </c>
      <c r="P2044" s="235">
        <v>62400</v>
      </c>
      <c r="Q2044" s="235"/>
      <c r="R2044" s="235">
        <v>47296</v>
      </c>
      <c r="S2044" s="236">
        <v>9492.2000000000007</v>
      </c>
      <c r="T2044" s="236">
        <v>1163.8</v>
      </c>
      <c r="U2044" s="236"/>
      <c r="V2044" s="235">
        <v>132138</v>
      </c>
      <c r="W2044" s="235">
        <v>48646</v>
      </c>
      <c r="X2044" s="235">
        <v>43116</v>
      </c>
      <c r="Y2044" s="235">
        <v>92778</v>
      </c>
      <c r="Z2044" s="235">
        <v>75607</v>
      </c>
    </row>
    <row r="2045" spans="1:26" ht="18" customHeight="1" x14ac:dyDescent="0.2">
      <c r="A2045" s="279">
        <f t="shared" si="2415"/>
        <v>44896</v>
      </c>
      <c r="B2045" s="280" t="s">
        <v>194</v>
      </c>
      <c r="C2045" s="299">
        <f t="shared" si="2424"/>
        <v>1689</v>
      </c>
      <c r="D2045" s="300">
        <f t="shared" si="2419"/>
        <v>2472</v>
      </c>
      <c r="E2045" s="301">
        <f t="shared" si="2420"/>
        <v>1515.9999999999127</v>
      </c>
      <c r="F2045" s="301">
        <f t="shared" si="2425"/>
        <v>74</v>
      </c>
      <c r="G2045" s="302">
        <f t="shared" si="2426"/>
        <v>5750.9999999999127</v>
      </c>
      <c r="H2045" s="199"/>
      <c r="I2045" s="199"/>
      <c r="J2045" s="200"/>
      <c r="K2045" s="201"/>
      <c r="L2045" s="276"/>
      <c r="M2045" s="276"/>
      <c r="N2045" s="235">
        <v>81372</v>
      </c>
      <c r="O2045" s="235">
        <v>34225</v>
      </c>
      <c r="P2045" s="235">
        <v>62556</v>
      </c>
      <c r="Q2045" s="235"/>
      <c r="R2045" s="235">
        <v>47296</v>
      </c>
      <c r="S2045" s="236">
        <v>9513.1</v>
      </c>
      <c r="T2045" s="236">
        <v>1164.0999999999999</v>
      </c>
      <c r="U2045" s="236"/>
      <c r="V2045" s="235">
        <v>132319</v>
      </c>
      <c r="W2045" s="235">
        <v>48675</v>
      </c>
      <c r="X2045" s="235">
        <v>43188</v>
      </c>
      <c r="Y2045" s="235">
        <v>92778</v>
      </c>
      <c r="Z2045" s="235">
        <v>75656</v>
      </c>
    </row>
    <row r="2046" spans="1:26" ht="18" customHeight="1" x14ac:dyDescent="0.2">
      <c r="A2046" s="279">
        <f t="shared" si="2415"/>
        <v>44897</v>
      </c>
      <c r="B2046" s="278" t="s">
        <v>189</v>
      </c>
      <c r="C2046" s="299">
        <f t="shared" si="2424"/>
        <v>0</v>
      </c>
      <c r="D2046" s="300">
        <f t="shared" si="2419"/>
        <v>0</v>
      </c>
      <c r="E2046" s="301">
        <f t="shared" si="2420"/>
        <v>0</v>
      </c>
      <c r="F2046" s="301">
        <f t="shared" si="2425"/>
        <v>0</v>
      </c>
      <c r="G2046" s="302">
        <f t="shared" si="2426"/>
        <v>0</v>
      </c>
      <c r="H2046" s="199"/>
      <c r="I2046" s="199"/>
      <c r="J2046" s="200"/>
      <c r="K2046" s="201"/>
      <c r="L2046" s="276"/>
      <c r="M2046" s="276"/>
      <c r="N2046" s="235">
        <v>81527</v>
      </c>
      <c r="O2046" s="235">
        <v>34285</v>
      </c>
      <c r="P2046" s="235">
        <v>62710</v>
      </c>
      <c r="Q2046" s="235"/>
      <c r="R2046" s="235">
        <v>47296</v>
      </c>
      <c r="S2046" s="236">
        <v>9531.7999999999993</v>
      </c>
      <c r="T2046" s="236">
        <v>1164.5999999999999</v>
      </c>
      <c r="U2046" s="236"/>
      <c r="V2046" s="235">
        <v>132488</v>
      </c>
      <c r="W2046" s="235">
        <v>48703</v>
      </c>
      <c r="X2046" s="235">
        <v>43240</v>
      </c>
      <c r="Y2046" s="235">
        <v>92778</v>
      </c>
      <c r="Z2046" s="235">
        <v>75730</v>
      </c>
    </row>
    <row r="2047" spans="1:26" ht="18" customHeight="1" x14ac:dyDescent="0.2">
      <c r="A2047" s="279">
        <f t="shared" si="2415"/>
        <v>44898</v>
      </c>
      <c r="B2047" s="279" t="s">
        <v>195</v>
      </c>
      <c r="C2047" s="299">
        <f t="shared" si="2424"/>
        <v>0</v>
      </c>
      <c r="D2047" s="300">
        <f t="shared" si="2419"/>
        <v>0</v>
      </c>
      <c r="E2047" s="301">
        <f t="shared" si="2420"/>
        <v>0</v>
      </c>
      <c r="F2047" s="301">
        <f t="shared" si="2425"/>
        <v>0</v>
      </c>
      <c r="G2047" s="302">
        <f t="shared" si="2426"/>
        <v>0</v>
      </c>
      <c r="H2047" s="199"/>
      <c r="I2047" s="199"/>
      <c r="J2047" s="200"/>
      <c r="K2047" s="201"/>
      <c r="L2047" s="276"/>
      <c r="M2047" s="276"/>
      <c r="N2047" s="153">
        <v>81527</v>
      </c>
      <c r="O2047" s="153">
        <v>34285</v>
      </c>
      <c r="P2047" s="153">
        <v>62710</v>
      </c>
      <c r="Q2047" s="153"/>
      <c r="R2047" s="153">
        <v>47296</v>
      </c>
      <c r="S2047" s="154">
        <v>9531.7999999999993</v>
      </c>
      <c r="T2047" s="154">
        <v>1164.5999999999999</v>
      </c>
      <c r="U2047" s="154"/>
      <c r="V2047" s="153">
        <v>132488</v>
      </c>
      <c r="W2047" s="153">
        <v>48703</v>
      </c>
      <c r="X2047" s="153">
        <v>43240</v>
      </c>
      <c r="Y2047" s="153">
        <v>92778</v>
      </c>
      <c r="Z2047" s="153">
        <v>75730</v>
      </c>
    </row>
    <row r="2048" spans="1:26" ht="18" customHeight="1" x14ac:dyDescent="0.2">
      <c r="A2048" s="279">
        <f t="shared" si="2415"/>
        <v>44899</v>
      </c>
      <c r="B2048" s="278" t="s">
        <v>190</v>
      </c>
      <c r="C2048" s="299">
        <f t="shared" si="2424"/>
        <v>2296</v>
      </c>
      <c r="D2048" s="300">
        <f t="shared" si="2419"/>
        <v>2352</v>
      </c>
      <c r="E2048" s="301">
        <f t="shared" si="2420"/>
        <v>2012.0000000000346</v>
      </c>
      <c r="F2048" s="301">
        <f t="shared" si="2425"/>
        <v>296</v>
      </c>
      <c r="G2048" s="302">
        <f t="shared" si="2426"/>
        <v>6956.0000000000346</v>
      </c>
      <c r="H2048" s="199"/>
      <c r="I2048" s="199"/>
      <c r="J2048" s="200"/>
      <c r="K2048" s="201"/>
      <c r="L2048" s="276"/>
      <c r="M2048" s="276"/>
      <c r="N2048" s="153">
        <v>81527</v>
      </c>
      <c r="O2048" s="153">
        <v>34285</v>
      </c>
      <c r="P2048" s="153">
        <v>62710</v>
      </c>
      <c r="Q2048" s="153"/>
      <c r="R2048" s="153">
        <v>47296</v>
      </c>
      <c r="S2048" s="154">
        <v>9531.7999999999993</v>
      </c>
      <c r="T2048" s="154">
        <v>1164.5999999999999</v>
      </c>
      <c r="U2048" s="154"/>
      <c r="V2048" s="153">
        <v>132488</v>
      </c>
      <c r="W2048" s="153">
        <v>48703</v>
      </c>
      <c r="X2048" s="153">
        <v>43240</v>
      </c>
      <c r="Y2048" s="153">
        <v>92778</v>
      </c>
      <c r="Z2048" s="153">
        <v>75730</v>
      </c>
    </row>
    <row r="2049" spans="1:31" ht="18" customHeight="1" x14ac:dyDescent="0.2">
      <c r="A2049" s="279">
        <f t="shared" si="2415"/>
        <v>44900</v>
      </c>
      <c r="B2049" s="280" t="s">
        <v>191</v>
      </c>
      <c r="C2049" s="299">
        <f t="shared" ref="C2049:C2051" si="2427">(V2050-V2049)*1+(W2050-W2049)*32+(X2050-X2049)*12+(Y2050-Y2049)*6</f>
        <v>1857</v>
      </c>
      <c r="D2049" s="300">
        <f t="shared" si="2419"/>
        <v>2288</v>
      </c>
      <c r="E2049" s="301">
        <f t="shared" si="2420"/>
        <v>1651.9999999999982</v>
      </c>
      <c r="F2049" s="301">
        <f t="shared" ref="F2049:F2051" si="2428">(Z2050-Z2049)*1</f>
        <v>108</v>
      </c>
      <c r="G2049" s="302">
        <f t="shared" ref="G2049:G2051" si="2429">C2049+D2049+F2049+E2049</f>
        <v>5904.9999999999982</v>
      </c>
      <c r="H2049" s="199"/>
      <c r="I2049" s="199"/>
      <c r="J2049" s="200"/>
      <c r="K2049" s="201"/>
      <c r="L2049" s="276"/>
      <c r="M2049" s="276"/>
      <c r="N2049" s="235">
        <v>81669</v>
      </c>
      <c r="O2049" s="235">
        <v>34343</v>
      </c>
      <c r="P2049" s="235">
        <v>62862</v>
      </c>
      <c r="Q2049" s="235"/>
      <c r="R2049" s="235">
        <v>47296</v>
      </c>
      <c r="S2049" s="236">
        <v>9556.4</v>
      </c>
      <c r="T2049" s="236">
        <v>1165.7</v>
      </c>
      <c r="U2049" s="236"/>
      <c r="V2049" s="235">
        <v>132892</v>
      </c>
      <c r="W2049" s="235">
        <v>48743</v>
      </c>
      <c r="X2049" s="235">
        <v>43291</v>
      </c>
      <c r="Y2049" s="235">
        <v>92778</v>
      </c>
      <c r="Z2049" s="235">
        <v>76026</v>
      </c>
    </row>
    <row r="2050" spans="1:31" ht="18" customHeight="1" x14ac:dyDescent="0.2">
      <c r="A2050" s="279">
        <f t="shared" si="2415"/>
        <v>44901</v>
      </c>
      <c r="B2050" s="280" t="s">
        <v>192</v>
      </c>
      <c r="C2050" s="299">
        <f t="shared" si="2427"/>
        <v>1889</v>
      </c>
      <c r="D2050" s="300">
        <f t="shared" si="2419"/>
        <v>2920</v>
      </c>
      <c r="E2050" s="301">
        <f t="shared" si="2420"/>
        <v>1868.0000000000291</v>
      </c>
      <c r="F2050" s="301">
        <f t="shared" si="2428"/>
        <v>108</v>
      </c>
      <c r="G2050" s="302">
        <f t="shared" si="2429"/>
        <v>6785.0000000000291</v>
      </c>
      <c r="H2050" s="199"/>
      <c r="I2050" s="199"/>
      <c r="J2050" s="200"/>
      <c r="K2050" s="201"/>
      <c r="L2050" s="276"/>
      <c r="M2050" s="276"/>
      <c r="N2050" s="235">
        <v>81810</v>
      </c>
      <c r="O2050" s="235">
        <v>34395</v>
      </c>
      <c r="P2050" s="235">
        <v>63007</v>
      </c>
      <c r="Q2050" s="235"/>
      <c r="R2050" s="235">
        <v>47296</v>
      </c>
      <c r="S2050" s="236">
        <v>9576.4</v>
      </c>
      <c r="T2050" s="236">
        <v>1167</v>
      </c>
      <c r="U2050" s="236"/>
      <c r="V2050" s="235">
        <v>133061</v>
      </c>
      <c r="W2050" s="235">
        <v>48771</v>
      </c>
      <c r="X2050" s="235">
        <v>43357</v>
      </c>
      <c r="Y2050" s="235">
        <v>92778</v>
      </c>
      <c r="Z2050" s="235">
        <v>76134</v>
      </c>
    </row>
    <row r="2051" spans="1:31" ht="18" customHeight="1" x14ac:dyDescent="0.2">
      <c r="A2051" s="279">
        <f t="shared" si="2415"/>
        <v>44902</v>
      </c>
      <c r="B2051" s="280" t="s">
        <v>193</v>
      </c>
      <c r="C2051" s="299">
        <f t="shared" si="2427"/>
        <v>1891</v>
      </c>
      <c r="D2051" s="300">
        <f t="shared" si="2419"/>
        <v>1400</v>
      </c>
      <c r="E2051" s="301">
        <f t="shared" si="2420"/>
        <v>1864.0000000000327</v>
      </c>
      <c r="F2051" s="301">
        <f t="shared" si="2428"/>
        <v>123</v>
      </c>
      <c r="G2051" s="302">
        <f t="shared" si="2429"/>
        <v>5278.0000000000327</v>
      </c>
      <c r="H2051" s="199"/>
      <c r="I2051" s="199"/>
      <c r="J2051" s="200"/>
      <c r="K2051" s="201"/>
      <c r="L2051" s="276"/>
      <c r="M2051" s="276"/>
      <c r="N2051" s="235">
        <v>82032</v>
      </c>
      <c r="O2051" s="235">
        <v>34442</v>
      </c>
      <c r="P2051" s="235">
        <v>63150</v>
      </c>
      <c r="Q2051" s="235"/>
      <c r="R2051" s="235">
        <v>47296</v>
      </c>
      <c r="S2051" s="236">
        <v>9599.5</v>
      </c>
      <c r="T2051" s="236">
        <v>1167.5</v>
      </c>
      <c r="U2051" s="236"/>
      <c r="V2051" s="235">
        <v>133226</v>
      </c>
      <c r="W2051" s="235">
        <v>48799</v>
      </c>
      <c r="X2051" s="235">
        <v>43426</v>
      </c>
      <c r="Y2051" s="235">
        <v>92778</v>
      </c>
      <c r="Z2051" s="235">
        <v>76242</v>
      </c>
    </row>
    <row r="2052" spans="1:31" ht="18" customHeight="1" x14ac:dyDescent="0.2">
      <c r="A2052" s="279">
        <f t="shared" si="2415"/>
        <v>44903</v>
      </c>
      <c r="B2052" s="280" t="s">
        <v>194</v>
      </c>
      <c r="C2052" s="299">
        <f t="shared" ref="C2052:C2055" si="2430">(V2053-V2052)*1+(W2053-W2052)*32+(X2053-X2052)*12+(Y2053-Y2052)*6</f>
        <v>1822</v>
      </c>
      <c r="D2052" s="300">
        <f t="shared" si="2419"/>
        <v>2136</v>
      </c>
      <c r="E2052" s="301">
        <f t="shared" si="2420"/>
        <v>1627.9999999999927</v>
      </c>
      <c r="F2052" s="301">
        <f t="shared" ref="F2052:F2055" si="2431">(Z2053-Z2052)*1</f>
        <v>115</v>
      </c>
      <c r="G2052" s="302">
        <f t="shared" ref="G2052:G2055" si="2432">C2052+D2052+F2052+E2052</f>
        <v>5700.9999999999927</v>
      </c>
      <c r="H2052" s="199"/>
      <c r="I2052" s="199"/>
      <c r="J2052" s="200"/>
      <c r="K2052" s="201"/>
      <c r="L2052" s="276"/>
      <c r="M2052" s="276"/>
      <c r="N2052" s="235">
        <v>82060</v>
      </c>
      <c r="O2052" s="235">
        <v>34490</v>
      </c>
      <c r="P2052" s="235">
        <v>63297</v>
      </c>
      <c r="Q2052" s="235"/>
      <c r="R2052" s="235">
        <v>47296</v>
      </c>
      <c r="S2052" s="236">
        <v>9622.1</v>
      </c>
      <c r="T2052" s="236">
        <v>1168.9000000000001</v>
      </c>
      <c r="U2052" s="236"/>
      <c r="V2052" s="235">
        <v>133405</v>
      </c>
      <c r="W2052" s="235">
        <v>48827</v>
      </c>
      <c r="X2052" s="235">
        <v>43494</v>
      </c>
      <c r="Y2052" s="235">
        <v>92778</v>
      </c>
      <c r="Z2052" s="235">
        <v>76365</v>
      </c>
    </row>
    <row r="2053" spans="1:31" ht="18" customHeight="1" x14ac:dyDescent="0.2">
      <c r="A2053" s="279">
        <f t="shared" si="2415"/>
        <v>44904</v>
      </c>
      <c r="B2053" s="278" t="s">
        <v>189</v>
      </c>
      <c r="C2053" s="299">
        <f t="shared" si="2430"/>
        <v>0</v>
      </c>
      <c r="D2053" s="300">
        <f t="shared" si="2419"/>
        <v>0</v>
      </c>
      <c r="E2053" s="301">
        <f t="shared" si="2420"/>
        <v>0</v>
      </c>
      <c r="F2053" s="301">
        <f t="shared" si="2431"/>
        <v>0</v>
      </c>
      <c r="G2053" s="302">
        <f t="shared" si="2432"/>
        <v>0</v>
      </c>
      <c r="H2053" s="199"/>
      <c r="I2053" s="199"/>
      <c r="J2053" s="200"/>
      <c r="K2053" s="201"/>
      <c r="L2053" s="276"/>
      <c r="M2053" s="276"/>
      <c r="N2053" s="235">
        <v>82180</v>
      </c>
      <c r="O2053" s="235">
        <v>34536</v>
      </c>
      <c r="P2053" s="235">
        <v>63444</v>
      </c>
      <c r="Q2053" s="235"/>
      <c r="R2053" s="235">
        <v>47296</v>
      </c>
      <c r="S2053" s="236">
        <v>9642.1</v>
      </c>
      <c r="T2053" s="236">
        <v>1169.5999999999999</v>
      </c>
      <c r="U2053" s="236"/>
      <c r="V2053" s="235">
        <v>133571</v>
      </c>
      <c r="W2053" s="235">
        <v>48854</v>
      </c>
      <c r="X2053" s="235">
        <v>43560</v>
      </c>
      <c r="Y2053" s="235">
        <v>92778</v>
      </c>
      <c r="Z2053" s="235">
        <v>76480</v>
      </c>
    </row>
    <row r="2054" spans="1:31" ht="18" customHeight="1" x14ac:dyDescent="0.2">
      <c r="A2054" s="279">
        <f t="shared" si="2415"/>
        <v>44905</v>
      </c>
      <c r="B2054" s="279" t="s">
        <v>195</v>
      </c>
      <c r="C2054" s="299">
        <f t="shared" si="2430"/>
        <v>0</v>
      </c>
      <c r="D2054" s="300">
        <f t="shared" si="2419"/>
        <v>0</v>
      </c>
      <c r="E2054" s="301">
        <f t="shared" si="2420"/>
        <v>0</v>
      </c>
      <c r="F2054" s="301">
        <f t="shared" si="2431"/>
        <v>0</v>
      </c>
      <c r="G2054" s="302">
        <f t="shared" si="2432"/>
        <v>0</v>
      </c>
      <c r="H2054" s="199"/>
      <c r="I2054" s="199"/>
      <c r="J2054" s="200"/>
      <c r="K2054" s="201"/>
      <c r="L2054" s="276"/>
      <c r="M2054" s="276"/>
      <c r="N2054" s="288">
        <v>82180</v>
      </c>
      <c r="O2054" s="288">
        <v>34536</v>
      </c>
      <c r="P2054" s="288">
        <v>63444</v>
      </c>
      <c r="Q2054" s="288"/>
      <c r="R2054" s="288">
        <v>47296</v>
      </c>
      <c r="S2054" s="289">
        <v>9642.1</v>
      </c>
      <c r="T2054" s="289">
        <v>1169.5999999999999</v>
      </c>
      <c r="U2054" s="289"/>
      <c r="V2054" s="288">
        <v>133571</v>
      </c>
      <c r="W2054" s="288">
        <v>48854</v>
      </c>
      <c r="X2054" s="288">
        <v>43560</v>
      </c>
      <c r="Y2054" s="288">
        <v>92778</v>
      </c>
      <c r="Z2054" s="288">
        <v>76480</v>
      </c>
    </row>
    <row r="2055" spans="1:31" ht="18" customHeight="1" x14ac:dyDescent="0.2">
      <c r="A2055" s="279">
        <f t="shared" si="2415"/>
        <v>44906</v>
      </c>
      <c r="B2055" s="278" t="s">
        <v>190</v>
      </c>
      <c r="C2055" s="299">
        <f t="shared" si="2430"/>
        <v>3233</v>
      </c>
      <c r="D2055" s="300">
        <f t="shared" si="2419"/>
        <v>2096</v>
      </c>
      <c r="E2055" s="301">
        <f t="shared" si="2420"/>
        <v>2431.9999999999709</v>
      </c>
      <c r="F2055" s="301">
        <f t="shared" si="2431"/>
        <v>406</v>
      </c>
      <c r="G2055" s="302">
        <f t="shared" si="2432"/>
        <v>8166.9999999999709</v>
      </c>
      <c r="H2055" s="199"/>
      <c r="I2055" s="199"/>
      <c r="J2055" s="200"/>
      <c r="K2055" s="201"/>
      <c r="L2055" s="276"/>
      <c r="M2055" s="276"/>
      <c r="N2055" s="288">
        <v>82180</v>
      </c>
      <c r="O2055" s="288">
        <v>34536</v>
      </c>
      <c r="P2055" s="288">
        <v>63444</v>
      </c>
      <c r="Q2055" s="288"/>
      <c r="R2055" s="288">
        <v>47296</v>
      </c>
      <c r="S2055" s="289">
        <v>9642.1</v>
      </c>
      <c r="T2055" s="289">
        <v>1169.5999999999999</v>
      </c>
      <c r="U2055" s="289"/>
      <c r="V2055" s="288">
        <v>133571</v>
      </c>
      <c r="W2055" s="288">
        <v>48854</v>
      </c>
      <c r="X2055" s="288">
        <v>43560</v>
      </c>
      <c r="Y2055" s="288">
        <v>92778</v>
      </c>
      <c r="Z2055" s="288">
        <v>76480</v>
      </c>
      <c r="AB2055" s="279">
        <v>45271</v>
      </c>
      <c r="AC2055" s="278" t="s">
        <v>190</v>
      </c>
      <c r="AD2055" s="303">
        <f t="shared" ref="AD2055:AD2086" si="2433">(P2056-P2055)*8</f>
        <v>1216</v>
      </c>
      <c r="AE2055" s="303"/>
    </row>
    <row r="2056" spans="1:31" ht="18" customHeight="1" x14ac:dyDescent="0.2">
      <c r="A2056" s="279">
        <f t="shared" si="2415"/>
        <v>44907</v>
      </c>
      <c r="B2056" s="280" t="s">
        <v>210</v>
      </c>
      <c r="C2056" s="299">
        <f t="shared" ref="C2056:C2062" si="2434">(V2057-V2056)*1+(W2057-W2056)*32+(X2057-X2056)*12+(Y2057-Y2056)*6</f>
        <v>1951</v>
      </c>
      <c r="D2056" s="300">
        <f t="shared" si="2419"/>
        <v>2152</v>
      </c>
      <c r="E2056" s="301">
        <f t="shared" si="2420"/>
        <v>1731.9999999999709</v>
      </c>
      <c r="F2056" s="301">
        <f t="shared" ref="F2056:F2062" si="2435">(Z2057-Z2056)*1</f>
        <v>138</v>
      </c>
      <c r="G2056" s="302">
        <f t="shared" ref="G2056:G2062" si="2436">C2056+D2056+F2056+E2056</f>
        <v>5972.9999999999709</v>
      </c>
      <c r="H2056" s="199"/>
      <c r="I2056" s="199"/>
      <c r="J2056" s="200"/>
      <c r="K2056" s="201"/>
      <c r="L2056" s="276"/>
      <c r="M2056" s="276"/>
      <c r="N2056" s="235">
        <v>82290</v>
      </c>
      <c r="O2056" s="235">
        <v>34580</v>
      </c>
      <c r="P2056" s="235">
        <v>63596</v>
      </c>
      <c r="Q2056" s="235"/>
      <c r="R2056" s="235">
        <v>47296</v>
      </c>
      <c r="S2056" s="236">
        <v>9671.5</v>
      </c>
      <c r="T2056" s="236">
        <v>1171.5999999999999</v>
      </c>
      <c r="U2056" s="236"/>
      <c r="V2056" s="235">
        <v>133976</v>
      </c>
      <c r="W2056" s="235">
        <v>48918</v>
      </c>
      <c r="X2056" s="235">
        <v>43625</v>
      </c>
      <c r="Y2056" s="235">
        <v>92778</v>
      </c>
      <c r="Z2056" s="235">
        <v>76886</v>
      </c>
      <c r="AB2056" s="279">
        <f t="shared" ref="AB2056:AB2109" si="2437">AB2055+1</f>
        <v>45272</v>
      </c>
      <c r="AC2056" s="280" t="s">
        <v>210</v>
      </c>
      <c r="AD2056" s="303">
        <f t="shared" si="2433"/>
        <v>1176</v>
      </c>
      <c r="AE2056" s="303"/>
    </row>
    <row r="2057" spans="1:31" ht="18" customHeight="1" x14ac:dyDescent="0.2">
      <c r="A2057" s="279">
        <f t="shared" si="2415"/>
        <v>44908</v>
      </c>
      <c r="B2057" s="280" t="s">
        <v>211</v>
      </c>
      <c r="C2057" s="299">
        <f t="shared" si="2434"/>
        <v>1738</v>
      </c>
      <c r="D2057" s="300">
        <f t="shared" si="2419"/>
        <v>2040</v>
      </c>
      <c r="E2057" s="301">
        <f t="shared" si="2420"/>
        <v>1708.0000000000291</v>
      </c>
      <c r="F2057" s="301">
        <f t="shared" si="2435"/>
        <v>142</v>
      </c>
      <c r="G2057" s="302">
        <f t="shared" si="2436"/>
        <v>5628.0000000000291</v>
      </c>
      <c r="H2057" s="199"/>
      <c r="I2057" s="199"/>
      <c r="J2057" s="200"/>
      <c r="K2057" s="201"/>
      <c r="L2057" s="276"/>
      <c r="M2057" s="276"/>
      <c r="N2057" s="235">
        <v>82412</v>
      </c>
      <c r="O2057" s="235">
        <v>34626</v>
      </c>
      <c r="P2057" s="235">
        <v>63743</v>
      </c>
      <c r="Q2057" s="235"/>
      <c r="R2057" s="235">
        <v>47296</v>
      </c>
      <c r="S2057" s="236">
        <v>9692.9</v>
      </c>
      <c r="T2057" s="236">
        <v>1172.0999999999999</v>
      </c>
      <c r="U2057" s="236"/>
      <c r="V2057" s="235">
        <v>134135</v>
      </c>
      <c r="W2057" s="235">
        <v>48947</v>
      </c>
      <c r="X2057" s="235">
        <v>43697</v>
      </c>
      <c r="Y2057" s="235">
        <v>92778</v>
      </c>
      <c r="Z2057" s="235">
        <v>77024</v>
      </c>
      <c r="AB2057" s="279">
        <f t="shared" si="2437"/>
        <v>45273</v>
      </c>
      <c r="AC2057" s="280" t="s">
        <v>211</v>
      </c>
      <c r="AD2057" s="303">
        <f t="shared" si="2433"/>
        <v>1128</v>
      </c>
      <c r="AE2057" s="303"/>
    </row>
    <row r="2058" spans="1:31" ht="18" customHeight="1" x14ac:dyDescent="0.2">
      <c r="A2058" s="279">
        <f t="shared" si="2415"/>
        <v>44909</v>
      </c>
      <c r="B2058" s="280" t="s">
        <v>212</v>
      </c>
      <c r="C2058" s="299">
        <f t="shared" si="2434"/>
        <v>1973</v>
      </c>
      <c r="D2058" s="300">
        <f t="shared" si="2419"/>
        <v>2208</v>
      </c>
      <c r="E2058" s="301">
        <f t="shared" si="2420"/>
        <v>1812.0000000000073</v>
      </c>
      <c r="F2058" s="301">
        <f t="shared" si="2435"/>
        <v>136</v>
      </c>
      <c r="G2058" s="302">
        <f t="shared" si="2436"/>
        <v>6129.0000000000073</v>
      </c>
      <c r="H2058" s="199"/>
      <c r="I2058" s="199"/>
      <c r="J2058" s="200"/>
      <c r="K2058" s="201"/>
      <c r="L2058" s="276"/>
      <c r="M2058" s="276"/>
      <c r="N2058" s="235">
        <v>82526</v>
      </c>
      <c r="O2058" s="235">
        <v>34670</v>
      </c>
      <c r="P2058" s="235">
        <v>63884</v>
      </c>
      <c r="Q2058" s="235"/>
      <c r="R2058" s="235">
        <v>47296</v>
      </c>
      <c r="S2058" s="236">
        <v>9714</v>
      </c>
      <c r="T2058" s="236">
        <v>1172.5999999999999</v>
      </c>
      <c r="U2058" s="236"/>
      <c r="V2058" s="235">
        <v>134297</v>
      </c>
      <c r="W2058" s="235">
        <v>48973</v>
      </c>
      <c r="X2058" s="235">
        <v>43759</v>
      </c>
      <c r="Y2058" s="235">
        <v>92778</v>
      </c>
      <c r="Z2058" s="235">
        <v>77166</v>
      </c>
      <c r="AB2058" s="279">
        <f t="shared" si="2437"/>
        <v>45274</v>
      </c>
      <c r="AC2058" s="280" t="s">
        <v>212</v>
      </c>
      <c r="AD2058" s="303">
        <f t="shared" si="2433"/>
        <v>1168</v>
      </c>
      <c r="AE2058" s="303"/>
    </row>
    <row r="2059" spans="1:31" ht="18" customHeight="1" x14ac:dyDescent="0.2">
      <c r="A2059" s="279">
        <f t="shared" si="2415"/>
        <v>44910</v>
      </c>
      <c r="B2059" s="280" t="s">
        <v>213</v>
      </c>
      <c r="C2059" s="299">
        <f t="shared" si="2434"/>
        <v>1748</v>
      </c>
      <c r="D2059" s="300">
        <f t="shared" si="2419"/>
        <v>1912</v>
      </c>
      <c r="E2059" s="301">
        <f t="shared" si="2420"/>
        <v>1744.0000000000236</v>
      </c>
      <c r="F2059" s="301">
        <f t="shared" si="2435"/>
        <v>139</v>
      </c>
      <c r="G2059" s="302">
        <f t="shared" si="2436"/>
        <v>5543.0000000000236</v>
      </c>
      <c r="H2059" s="199"/>
      <c r="I2059" s="199"/>
      <c r="J2059" s="200"/>
      <c r="K2059" s="201"/>
      <c r="L2059" s="276"/>
      <c r="M2059" s="276"/>
      <c r="N2059" s="235">
        <v>82656</v>
      </c>
      <c r="O2059" s="235">
        <v>34714</v>
      </c>
      <c r="P2059" s="235">
        <v>64030</v>
      </c>
      <c r="Q2059" s="235"/>
      <c r="R2059" s="235">
        <v>47296</v>
      </c>
      <c r="S2059" s="236">
        <v>9736.5</v>
      </c>
      <c r="T2059" s="236">
        <v>1172.9000000000001</v>
      </c>
      <c r="U2059" s="236"/>
      <c r="V2059" s="235">
        <v>134462</v>
      </c>
      <c r="W2059" s="235">
        <v>49001</v>
      </c>
      <c r="X2059" s="235">
        <v>43835</v>
      </c>
      <c r="Y2059" s="235">
        <v>92778</v>
      </c>
      <c r="Z2059" s="235">
        <v>77302</v>
      </c>
      <c r="AB2059" s="279">
        <f t="shared" si="2437"/>
        <v>45275</v>
      </c>
      <c r="AC2059" s="280" t="s">
        <v>213</v>
      </c>
      <c r="AD2059" s="303">
        <f t="shared" si="2433"/>
        <v>1136</v>
      </c>
      <c r="AE2059" s="303"/>
    </row>
    <row r="2060" spans="1:31" ht="18" customHeight="1" x14ac:dyDescent="0.2">
      <c r="A2060" s="279">
        <f t="shared" si="2415"/>
        <v>44911</v>
      </c>
      <c r="B2060" s="278" t="s">
        <v>214</v>
      </c>
      <c r="C2060" s="299">
        <f t="shared" si="2434"/>
        <v>0</v>
      </c>
      <c r="D2060" s="300">
        <f t="shared" si="2419"/>
        <v>0</v>
      </c>
      <c r="E2060" s="301">
        <f t="shared" si="2420"/>
        <v>0</v>
      </c>
      <c r="F2060" s="301">
        <f t="shared" si="2435"/>
        <v>0</v>
      </c>
      <c r="G2060" s="302">
        <f t="shared" si="2436"/>
        <v>0</v>
      </c>
      <c r="H2060" s="199"/>
      <c r="I2060" s="199"/>
      <c r="J2060" s="200"/>
      <c r="K2060" s="201"/>
      <c r="L2060" s="276"/>
      <c r="M2060" s="276"/>
      <c r="N2060" s="235">
        <v>82753</v>
      </c>
      <c r="O2060" s="235">
        <v>34755</v>
      </c>
      <c r="P2060" s="235">
        <v>64172</v>
      </c>
      <c r="Q2060" s="235"/>
      <c r="R2060" s="235">
        <v>47296</v>
      </c>
      <c r="S2060" s="236">
        <v>9758.1</v>
      </c>
      <c r="T2060" s="236">
        <v>1173.3</v>
      </c>
      <c r="U2060" s="236"/>
      <c r="V2060" s="235">
        <v>134618</v>
      </c>
      <c r="W2060" s="235">
        <v>49026</v>
      </c>
      <c r="X2060" s="235">
        <v>43901</v>
      </c>
      <c r="Y2060" s="235">
        <v>92778</v>
      </c>
      <c r="Z2060" s="235">
        <v>77441</v>
      </c>
      <c r="AB2060" s="279">
        <f t="shared" si="2437"/>
        <v>45276</v>
      </c>
      <c r="AC2060" s="278" t="s">
        <v>214</v>
      </c>
      <c r="AD2060" s="303">
        <f t="shared" si="2433"/>
        <v>0</v>
      </c>
      <c r="AE2060" s="303"/>
    </row>
    <row r="2061" spans="1:31" ht="18" customHeight="1" x14ac:dyDescent="0.2">
      <c r="A2061" s="279">
        <f t="shared" si="2415"/>
        <v>44912</v>
      </c>
      <c r="B2061" s="279" t="s">
        <v>215</v>
      </c>
      <c r="C2061" s="299">
        <f t="shared" si="2434"/>
        <v>0</v>
      </c>
      <c r="D2061" s="300">
        <f t="shared" si="2419"/>
        <v>0</v>
      </c>
      <c r="E2061" s="301">
        <f t="shared" si="2420"/>
        <v>0</v>
      </c>
      <c r="F2061" s="301">
        <f t="shared" si="2435"/>
        <v>0</v>
      </c>
      <c r="G2061" s="302">
        <f t="shared" si="2436"/>
        <v>0</v>
      </c>
      <c r="H2061" s="199"/>
      <c r="I2061" s="199"/>
      <c r="J2061" s="200"/>
      <c r="K2061" s="201"/>
      <c r="L2061" s="276"/>
      <c r="M2061" s="276"/>
      <c r="N2061" s="153">
        <v>82753</v>
      </c>
      <c r="O2061" s="153">
        <v>34755</v>
      </c>
      <c r="P2061" s="153">
        <v>64172</v>
      </c>
      <c r="Q2061" s="153"/>
      <c r="R2061" s="153">
        <v>47296</v>
      </c>
      <c r="S2061" s="154">
        <v>9758.1</v>
      </c>
      <c r="T2061" s="154">
        <v>1173.3</v>
      </c>
      <c r="U2061" s="154"/>
      <c r="V2061" s="153">
        <v>134618</v>
      </c>
      <c r="W2061" s="153">
        <v>49026</v>
      </c>
      <c r="X2061" s="153">
        <v>43901</v>
      </c>
      <c r="Y2061" s="153">
        <v>92778</v>
      </c>
      <c r="Z2061" s="153">
        <v>77441</v>
      </c>
      <c r="AB2061" s="279">
        <f t="shared" si="2437"/>
        <v>45277</v>
      </c>
      <c r="AC2061" s="279" t="s">
        <v>215</v>
      </c>
      <c r="AD2061" s="303">
        <f t="shared" si="2433"/>
        <v>0</v>
      </c>
      <c r="AE2061" s="303"/>
    </row>
    <row r="2062" spans="1:31" ht="18" customHeight="1" x14ac:dyDescent="0.2">
      <c r="A2062" s="279">
        <f t="shared" si="2415"/>
        <v>44913</v>
      </c>
      <c r="B2062" s="279" t="s">
        <v>216</v>
      </c>
      <c r="C2062" s="299">
        <f t="shared" si="2434"/>
        <v>2218</v>
      </c>
      <c r="D2062" s="300">
        <f t="shared" si="2419"/>
        <v>1904</v>
      </c>
      <c r="E2062" s="301">
        <f t="shared" si="2420"/>
        <v>2383.9999999999691</v>
      </c>
      <c r="F2062" s="301">
        <f t="shared" si="2435"/>
        <v>487</v>
      </c>
      <c r="G2062" s="302">
        <f t="shared" si="2436"/>
        <v>6992.9999999999691</v>
      </c>
      <c r="H2062" s="199"/>
      <c r="I2062" s="199"/>
      <c r="J2062" s="200"/>
      <c r="K2062" s="201"/>
      <c r="L2062" s="276"/>
      <c r="M2062" s="276"/>
      <c r="N2062" s="153">
        <v>82753</v>
      </c>
      <c r="O2062" s="153">
        <v>34755</v>
      </c>
      <c r="P2062" s="153">
        <v>64172</v>
      </c>
      <c r="Q2062" s="153"/>
      <c r="R2062" s="153">
        <v>47296</v>
      </c>
      <c r="S2062" s="154">
        <v>9758.1</v>
      </c>
      <c r="T2062" s="154">
        <v>1173.3</v>
      </c>
      <c r="U2062" s="154"/>
      <c r="V2062" s="153">
        <v>134618</v>
      </c>
      <c r="W2062" s="153">
        <v>49026</v>
      </c>
      <c r="X2062" s="153">
        <v>43901</v>
      </c>
      <c r="Y2062" s="153">
        <v>92778</v>
      </c>
      <c r="Z2062" s="153">
        <v>77441</v>
      </c>
      <c r="AB2062" s="279">
        <f t="shared" si="2437"/>
        <v>45278</v>
      </c>
      <c r="AC2062" s="279" t="s">
        <v>216</v>
      </c>
      <c r="AD2062" s="303">
        <f t="shared" si="2433"/>
        <v>1152</v>
      </c>
      <c r="AE2062" s="303"/>
    </row>
    <row r="2063" spans="1:31" ht="18" customHeight="1" x14ac:dyDescent="0.2">
      <c r="A2063" s="279">
        <f t="shared" si="2415"/>
        <v>44914</v>
      </c>
      <c r="B2063" s="279" t="s">
        <v>210</v>
      </c>
      <c r="C2063" s="299">
        <f t="shared" ref="C2063:C2069" si="2438">(V2064-V2063)*1+(W2064-W2063)*32+(X2064-X2063)*12+(Y2064-Y2063)*6</f>
        <v>1929</v>
      </c>
      <c r="D2063" s="300">
        <f t="shared" ref="D2063:D2069" si="2439">(N2064-N2063)*8+(P2064-P2063)*8+(R2064-R2063)*1</f>
        <v>2216</v>
      </c>
      <c r="E2063" s="301">
        <f t="shared" si="2420"/>
        <v>1624.0000000000327</v>
      </c>
      <c r="F2063" s="301">
        <f t="shared" ref="F2063:F2069" si="2440">(Z2064-Z2063)*1</f>
        <v>167</v>
      </c>
      <c r="G2063" s="302">
        <f t="shared" ref="G2063:G2069" si="2441">C2063+D2063+F2063+E2063</f>
        <v>5936.0000000000327</v>
      </c>
      <c r="H2063" s="199"/>
      <c r="I2063" s="199"/>
      <c r="J2063" s="200"/>
      <c r="K2063" s="201"/>
      <c r="L2063" s="276"/>
      <c r="M2063" s="276"/>
      <c r="N2063" s="235">
        <v>82847</v>
      </c>
      <c r="O2063" s="235">
        <v>34783</v>
      </c>
      <c r="P2063" s="235">
        <v>64316</v>
      </c>
      <c r="Q2063" s="235"/>
      <c r="R2063" s="235">
        <v>47296</v>
      </c>
      <c r="S2063" s="236">
        <v>9787.5</v>
      </c>
      <c r="T2063" s="236">
        <v>1174.0999999999999</v>
      </c>
      <c r="U2063" s="236"/>
      <c r="V2063" s="235">
        <v>135036</v>
      </c>
      <c r="W2063" s="235">
        <v>49062</v>
      </c>
      <c r="X2063" s="235">
        <v>43955</v>
      </c>
      <c r="Y2063" s="235">
        <v>92778</v>
      </c>
      <c r="Z2063" s="235">
        <v>77928</v>
      </c>
      <c r="AB2063" s="279">
        <f t="shared" si="2437"/>
        <v>45279</v>
      </c>
      <c r="AC2063" s="279" t="s">
        <v>210</v>
      </c>
      <c r="AD2063" s="303">
        <f t="shared" si="2433"/>
        <v>1232</v>
      </c>
      <c r="AE2063" s="303"/>
    </row>
    <row r="2064" spans="1:31" ht="18" customHeight="1" x14ac:dyDescent="0.2">
      <c r="A2064" s="279">
        <f t="shared" si="2415"/>
        <v>44915</v>
      </c>
      <c r="B2064" s="279" t="s">
        <v>211</v>
      </c>
      <c r="C2064" s="299">
        <f t="shared" si="2438"/>
        <v>1782</v>
      </c>
      <c r="D2064" s="300">
        <f t="shared" si="2439"/>
        <v>2432</v>
      </c>
      <c r="E2064" s="301">
        <f t="shared" si="2420"/>
        <v>1587.9999999999109</v>
      </c>
      <c r="F2064" s="301">
        <f t="shared" si="2440"/>
        <v>91</v>
      </c>
      <c r="G2064" s="302">
        <f t="shared" si="2441"/>
        <v>5892.9999999999109</v>
      </c>
      <c r="H2064" s="199"/>
      <c r="I2064" s="199"/>
      <c r="J2064" s="200"/>
      <c r="K2064" s="201"/>
      <c r="L2064" s="276"/>
      <c r="M2064" s="276"/>
      <c r="N2064" s="235">
        <v>82970</v>
      </c>
      <c r="O2064" s="235">
        <v>34828</v>
      </c>
      <c r="P2064" s="235">
        <v>64470</v>
      </c>
      <c r="Q2064" s="235"/>
      <c r="R2064" s="235">
        <v>47296</v>
      </c>
      <c r="S2064" s="236">
        <v>9807.6</v>
      </c>
      <c r="T2064" s="236">
        <v>1174.5</v>
      </c>
      <c r="U2064" s="236"/>
      <c r="V2064" s="235">
        <v>135193</v>
      </c>
      <c r="W2064" s="235">
        <v>49090</v>
      </c>
      <c r="X2064" s="235">
        <v>44028</v>
      </c>
      <c r="Y2064" s="235">
        <v>92778</v>
      </c>
      <c r="Z2064" s="235">
        <v>78095</v>
      </c>
      <c r="AB2064" s="279">
        <f t="shared" si="2437"/>
        <v>45280</v>
      </c>
      <c r="AC2064" s="279" t="s">
        <v>211</v>
      </c>
      <c r="AD2064" s="303">
        <f t="shared" si="2433"/>
        <v>1352</v>
      </c>
      <c r="AE2064" s="303"/>
    </row>
    <row r="2065" spans="1:31" ht="18" customHeight="1" x14ac:dyDescent="0.2">
      <c r="A2065" s="279">
        <f t="shared" si="2415"/>
        <v>44916</v>
      </c>
      <c r="B2065" s="279" t="s">
        <v>212</v>
      </c>
      <c r="C2065" s="299">
        <f t="shared" si="2438"/>
        <v>2064</v>
      </c>
      <c r="D2065" s="300">
        <f t="shared" si="2439"/>
        <v>2528</v>
      </c>
      <c r="E2065" s="301">
        <f t="shared" si="2420"/>
        <v>1540.0000000001182</v>
      </c>
      <c r="F2065" s="301">
        <f t="shared" si="2440"/>
        <v>123</v>
      </c>
      <c r="G2065" s="302">
        <f t="shared" si="2441"/>
        <v>6255.0000000001182</v>
      </c>
      <c r="H2065" s="199"/>
      <c r="I2065" s="199"/>
      <c r="J2065" s="200"/>
      <c r="K2065" s="201"/>
      <c r="L2065" s="276"/>
      <c r="M2065" s="276"/>
      <c r="N2065" s="235">
        <v>83105</v>
      </c>
      <c r="O2065" s="235">
        <v>34878</v>
      </c>
      <c r="P2065" s="235">
        <v>64639</v>
      </c>
      <c r="Q2065" s="235"/>
      <c r="R2065" s="235">
        <v>47296</v>
      </c>
      <c r="S2065" s="236">
        <v>9827.2999999999993</v>
      </c>
      <c r="T2065" s="236">
        <v>1174.8</v>
      </c>
      <c r="U2065" s="236"/>
      <c r="V2065" s="235">
        <v>135351</v>
      </c>
      <c r="W2065" s="235">
        <v>49116</v>
      </c>
      <c r="X2065" s="235">
        <v>44094</v>
      </c>
      <c r="Y2065" s="235">
        <v>92778</v>
      </c>
      <c r="Z2065" s="235">
        <v>78186</v>
      </c>
      <c r="AB2065" s="279">
        <f t="shared" si="2437"/>
        <v>45281</v>
      </c>
      <c r="AC2065" s="279" t="s">
        <v>212</v>
      </c>
      <c r="AD2065" s="303">
        <f t="shared" si="2433"/>
        <v>1400</v>
      </c>
      <c r="AE2065" s="303"/>
    </row>
    <row r="2066" spans="1:31" ht="18" customHeight="1" x14ac:dyDescent="0.2">
      <c r="A2066" s="279">
        <f t="shared" si="2415"/>
        <v>44917</v>
      </c>
      <c r="B2066" s="279" t="s">
        <v>213</v>
      </c>
      <c r="C2066" s="299">
        <f t="shared" si="2438"/>
        <v>1346</v>
      </c>
      <c r="D2066" s="300">
        <f t="shared" si="2439"/>
        <v>2296</v>
      </c>
      <c r="E2066" s="301">
        <f t="shared" si="2420"/>
        <v>1611.9999999999709</v>
      </c>
      <c r="F2066" s="301">
        <f t="shared" si="2440"/>
        <v>139</v>
      </c>
      <c r="G2066" s="302">
        <f t="shared" si="2441"/>
        <v>5392.9999999999709</v>
      </c>
      <c r="H2066" s="199"/>
      <c r="I2066" s="199"/>
      <c r="J2066" s="200"/>
      <c r="K2066" s="201"/>
      <c r="L2066" s="276"/>
      <c r="M2066" s="276"/>
      <c r="N2066" s="235">
        <v>83246</v>
      </c>
      <c r="O2066" s="235">
        <v>34932</v>
      </c>
      <c r="P2066" s="235">
        <v>64814</v>
      </c>
      <c r="Q2066" s="235"/>
      <c r="R2066" s="235">
        <v>47296</v>
      </c>
      <c r="S2066" s="236">
        <v>9846.2000000000007</v>
      </c>
      <c r="T2066" s="236">
        <v>1175.5</v>
      </c>
      <c r="U2066" s="236"/>
      <c r="V2066" s="235">
        <v>135515</v>
      </c>
      <c r="W2066" s="235">
        <v>49142</v>
      </c>
      <c r="X2066" s="235">
        <v>44183</v>
      </c>
      <c r="Y2066" s="235">
        <v>92778</v>
      </c>
      <c r="Z2066" s="235">
        <v>78309</v>
      </c>
      <c r="AB2066" s="279">
        <f t="shared" si="2437"/>
        <v>45282</v>
      </c>
      <c r="AC2066" s="279" t="s">
        <v>213</v>
      </c>
      <c r="AD2066" s="303">
        <f t="shared" si="2433"/>
        <v>1240</v>
      </c>
      <c r="AE2066" s="303"/>
    </row>
    <row r="2067" spans="1:31" ht="18" customHeight="1" x14ac:dyDescent="0.2">
      <c r="A2067" s="279">
        <f t="shared" si="2415"/>
        <v>44918</v>
      </c>
      <c r="B2067" s="279" t="s">
        <v>214</v>
      </c>
      <c r="C2067" s="299">
        <f t="shared" si="2438"/>
        <v>0</v>
      </c>
      <c r="D2067" s="300">
        <f t="shared" si="2439"/>
        <v>0</v>
      </c>
      <c r="E2067" s="301">
        <f t="shared" si="2420"/>
        <v>0</v>
      </c>
      <c r="F2067" s="301">
        <f t="shared" si="2440"/>
        <v>0</v>
      </c>
      <c r="G2067" s="302">
        <f t="shared" si="2441"/>
        <v>0</v>
      </c>
      <c r="H2067" s="199"/>
      <c r="I2067" s="199"/>
      <c r="J2067" s="200"/>
      <c r="K2067" s="201"/>
      <c r="L2067" s="276"/>
      <c r="M2067" s="276"/>
      <c r="N2067" s="235">
        <v>83378</v>
      </c>
      <c r="O2067" s="235">
        <v>34981</v>
      </c>
      <c r="P2067" s="235">
        <v>64969</v>
      </c>
      <c r="Q2067" s="235"/>
      <c r="R2067" s="235">
        <v>47296</v>
      </c>
      <c r="S2067" s="236">
        <v>9865.1</v>
      </c>
      <c r="T2067" s="236">
        <v>1178</v>
      </c>
      <c r="U2067" s="236"/>
      <c r="V2067" s="235">
        <v>135677</v>
      </c>
      <c r="W2067" s="235">
        <v>49164</v>
      </c>
      <c r="X2067" s="235">
        <v>44223</v>
      </c>
      <c r="Y2067" s="235">
        <v>92778</v>
      </c>
      <c r="Z2067" s="235">
        <v>78448</v>
      </c>
      <c r="AB2067" s="279">
        <f t="shared" si="2437"/>
        <v>45283</v>
      </c>
      <c r="AC2067" s="279" t="s">
        <v>214</v>
      </c>
      <c r="AD2067" s="303">
        <f t="shared" si="2433"/>
        <v>0</v>
      </c>
      <c r="AE2067" s="303"/>
    </row>
    <row r="2068" spans="1:31" ht="18" customHeight="1" x14ac:dyDescent="0.2">
      <c r="A2068" s="279">
        <f t="shared" si="2415"/>
        <v>44919</v>
      </c>
      <c r="B2068" s="279" t="s">
        <v>215</v>
      </c>
      <c r="C2068" s="299">
        <f t="shared" si="2438"/>
        <v>0</v>
      </c>
      <c r="D2068" s="300">
        <f t="shared" si="2439"/>
        <v>0</v>
      </c>
      <c r="E2068" s="301">
        <f t="shared" si="2420"/>
        <v>0</v>
      </c>
      <c r="F2068" s="301">
        <f t="shared" si="2440"/>
        <v>0</v>
      </c>
      <c r="G2068" s="302">
        <f t="shared" si="2441"/>
        <v>0</v>
      </c>
      <c r="H2068" s="199"/>
      <c r="I2068" s="199"/>
      <c r="J2068" s="200"/>
      <c r="K2068" s="201"/>
      <c r="L2068" s="276"/>
      <c r="M2068" s="276"/>
      <c r="N2068" s="153">
        <v>83378</v>
      </c>
      <c r="O2068" s="153">
        <v>34981</v>
      </c>
      <c r="P2068" s="153">
        <v>64969</v>
      </c>
      <c r="Q2068" s="153"/>
      <c r="R2068" s="153">
        <v>47296</v>
      </c>
      <c r="S2068" s="154">
        <v>9865.1</v>
      </c>
      <c r="T2068" s="154">
        <v>1178</v>
      </c>
      <c r="U2068" s="154"/>
      <c r="V2068" s="153">
        <v>135677</v>
      </c>
      <c r="W2068" s="153">
        <v>49164</v>
      </c>
      <c r="X2068" s="153">
        <v>44223</v>
      </c>
      <c r="Y2068" s="153">
        <v>92778</v>
      </c>
      <c r="Z2068" s="153">
        <v>78448</v>
      </c>
      <c r="AB2068" s="279">
        <f t="shared" si="2437"/>
        <v>45284</v>
      </c>
      <c r="AC2068" s="279" t="s">
        <v>215</v>
      </c>
      <c r="AD2068" s="303">
        <f t="shared" si="2433"/>
        <v>0</v>
      </c>
      <c r="AE2068" s="303"/>
    </row>
    <row r="2069" spans="1:31" ht="18" customHeight="1" x14ac:dyDescent="0.2">
      <c r="A2069" s="279">
        <f t="shared" si="2415"/>
        <v>44920</v>
      </c>
      <c r="B2069" s="279" t="s">
        <v>216</v>
      </c>
      <c r="C2069" s="299">
        <f t="shared" si="2438"/>
        <v>2436</v>
      </c>
      <c r="D2069" s="300">
        <f t="shared" si="2439"/>
        <v>2920</v>
      </c>
      <c r="E2069" s="301">
        <f t="shared" si="2420"/>
        <v>2628.0000000000018</v>
      </c>
      <c r="F2069" s="301">
        <f t="shared" si="2440"/>
        <v>478</v>
      </c>
      <c r="G2069" s="302">
        <f t="shared" si="2441"/>
        <v>8462.0000000000018</v>
      </c>
      <c r="H2069" s="199"/>
      <c r="I2069" s="199"/>
      <c r="J2069" s="200"/>
      <c r="K2069" s="201"/>
      <c r="L2069" s="276"/>
      <c r="M2069" s="276"/>
      <c r="N2069" s="153">
        <v>83378</v>
      </c>
      <c r="O2069" s="153">
        <v>34981</v>
      </c>
      <c r="P2069" s="153">
        <v>64969</v>
      </c>
      <c r="Q2069" s="153"/>
      <c r="R2069" s="153">
        <v>47296</v>
      </c>
      <c r="S2069" s="154">
        <v>9865.1</v>
      </c>
      <c r="T2069" s="154">
        <v>1178</v>
      </c>
      <c r="U2069" s="154"/>
      <c r="V2069" s="153">
        <v>135677</v>
      </c>
      <c r="W2069" s="153">
        <v>49164</v>
      </c>
      <c r="X2069" s="153">
        <v>44223</v>
      </c>
      <c r="Y2069" s="153">
        <v>92778</v>
      </c>
      <c r="Z2069" s="153">
        <v>78448</v>
      </c>
      <c r="AB2069" s="279">
        <f t="shared" si="2437"/>
        <v>45285</v>
      </c>
      <c r="AC2069" s="279" t="s">
        <v>216</v>
      </c>
      <c r="AD2069" s="303">
        <f t="shared" si="2433"/>
        <v>1272</v>
      </c>
      <c r="AE2069" s="303"/>
    </row>
    <row r="2070" spans="1:31" ht="18" customHeight="1" x14ac:dyDescent="0.2">
      <c r="A2070" s="279">
        <f t="shared" si="2415"/>
        <v>44921</v>
      </c>
      <c r="B2070" s="279" t="s">
        <v>210</v>
      </c>
      <c r="C2070" s="299">
        <f t="shared" ref="C2070:C2071" si="2442">(V2071-V2070)*1+(W2071-W2070)*32+(X2071-X2070)*12+(Y2071-Y2070)*6</f>
        <v>1965</v>
      </c>
      <c r="D2070" s="300">
        <f t="shared" ref="D2070:D2071" si="2443">(N2071-N2070)*8+(P2071-P2070)*8+(R2071-R2070)*1</f>
        <v>1144</v>
      </c>
      <c r="E2070" s="301">
        <f t="shared" si="2420"/>
        <v>1211.9999999999709</v>
      </c>
      <c r="F2070" s="301">
        <f t="shared" ref="F2070:F2071" si="2444">(Z2071-Z2070)*1</f>
        <v>143</v>
      </c>
      <c r="G2070" s="302">
        <f t="shared" ref="G2070:G2071" si="2445">C2070+D2070+F2070+E2070</f>
        <v>4463.9999999999709</v>
      </c>
      <c r="H2070" s="199"/>
      <c r="I2070" s="199"/>
      <c r="J2070" s="200"/>
      <c r="K2070" s="201"/>
      <c r="L2070" s="276"/>
      <c r="M2070" s="276"/>
      <c r="N2070" s="235">
        <v>83584</v>
      </c>
      <c r="O2070" s="235">
        <v>35053</v>
      </c>
      <c r="P2070" s="235">
        <v>65128</v>
      </c>
      <c r="Q2070" s="235">
        <v>76</v>
      </c>
      <c r="R2070" s="235">
        <v>47296</v>
      </c>
      <c r="S2070" s="236">
        <v>9897.1</v>
      </c>
      <c r="T2070" s="236">
        <v>1179.7</v>
      </c>
      <c r="U2070" s="236"/>
      <c r="V2070" s="235">
        <v>136117</v>
      </c>
      <c r="W2070" s="235">
        <v>49202</v>
      </c>
      <c r="X2070" s="235">
        <v>44288</v>
      </c>
      <c r="Y2070" s="235">
        <v>92778</v>
      </c>
      <c r="Z2070" s="235">
        <v>78926</v>
      </c>
      <c r="AB2070" s="279">
        <f t="shared" si="2437"/>
        <v>45286</v>
      </c>
      <c r="AC2070" s="279" t="s">
        <v>210</v>
      </c>
      <c r="AD2070" s="303">
        <f t="shared" si="2433"/>
        <v>144</v>
      </c>
      <c r="AE2070" s="303">
        <f t="shared" ref="AE2070:AE2104" si="2446">(Q2071-Q2070)*8</f>
        <v>448</v>
      </c>
    </row>
    <row r="2071" spans="1:31" ht="18" customHeight="1" x14ac:dyDescent="0.2">
      <c r="A2071" s="279">
        <f t="shared" si="2415"/>
        <v>44922</v>
      </c>
      <c r="B2071" s="279" t="s">
        <v>211</v>
      </c>
      <c r="C2071" s="299">
        <f t="shared" si="2442"/>
        <v>1939</v>
      </c>
      <c r="D2071" s="300">
        <f t="shared" si="2443"/>
        <v>1072</v>
      </c>
      <c r="E2071" s="301">
        <f t="shared" si="2420"/>
        <v>1596.0000000000582</v>
      </c>
      <c r="F2071" s="301">
        <f t="shared" si="2444"/>
        <v>162</v>
      </c>
      <c r="G2071" s="302">
        <f t="shared" si="2445"/>
        <v>4769.0000000000582</v>
      </c>
      <c r="H2071" s="199"/>
      <c r="I2071" s="199"/>
      <c r="J2071" s="200"/>
      <c r="K2071" s="201"/>
      <c r="L2071" s="276"/>
      <c r="M2071" s="276"/>
      <c r="N2071" s="235">
        <v>83709</v>
      </c>
      <c r="O2071" s="235">
        <v>35099</v>
      </c>
      <c r="P2071" s="235">
        <v>65146</v>
      </c>
      <c r="Q2071" s="235">
        <v>132</v>
      </c>
      <c r="R2071" s="235">
        <v>47296</v>
      </c>
      <c r="S2071" s="236">
        <v>9912</v>
      </c>
      <c r="T2071" s="236">
        <v>1180.2</v>
      </c>
      <c r="U2071" s="236"/>
      <c r="V2071" s="235">
        <v>136294</v>
      </c>
      <c r="W2071" s="235">
        <v>49229</v>
      </c>
      <c r="X2071" s="235">
        <v>44365</v>
      </c>
      <c r="Y2071" s="235">
        <v>92778</v>
      </c>
      <c r="Z2071" s="235">
        <v>79069</v>
      </c>
      <c r="AB2071" s="279">
        <f t="shared" si="2437"/>
        <v>45287</v>
      </c>
      <c r="AC2071" s="279" t="s">
        <v>211</v>
      </c>
      <c r="AD2071" s="303">
        <f t="shared" si="2433"/>
        <v>80</v>
      </c>
      <c r="AE2071" s="303">
        <f t="shared" si="2446"/>
        <v>440</v>
      </c>
    </row>
    <row r="2072" spans="1:31" ht="18" customHeight="1" x14ac:dyDescent="0.2">
      <c r="A2072" s="279">
        <f t="shared" si="2415"/>
        <v>44923</v>
      </c>
      <c r="B2072" s="279" t="s">
        <v>212</v>
      </c>
      <c r="C2072" s="299">
        <f t="shared" ref="C2072:C2073" si="2447">(V2073-V2072)*1+(W2073-W2072)*32+(X2073-X2072)*12+(Y2073-Y2072)*6</f>
        <v>1639</v>
      </c>
      <c r="D2072" s="300">
        <f t="shared" ref="D2072:D2073" si="2448">(N2073-N2072)*8+(P2073-P2072)*8+(R2073-R2072)*1</f>
        <v>1928</v>
      </c>
      <c r="E2072" s="301">
        <f t="shared" si="2420"/>
        <v>1515.9999999999127</v>
      </c>
      <c r="F2072" s="301">
        <f t="shared" ref="F2072:F2073" si="2449">(Z2073-Z2072)*1</f>
        <v>133</v>
      </c>
      <c r="G2072" s="302">
        <f t="shared" ref="G2072:G2073" si="2450">C2072+D2072+F2072+E2072</f>
        <v>5215.9999999999127</v>
      </c>
      <c r="H2072" s="199"/>
      <c r="I2072" s="199"/>
      <c r="J2072" s="200"/>
      <c r="K2072" s="201"/>
      <c r="L2072" s="276"/>
      <c r="M2072" s="276"/>
      <c r="N2072" s="235">
        <v>83833</v>
      </c>
      <c r="O2072" s="235">
        <v>35146</v>
      </c>
      <c r="P2072" s="235">
        <v>65156</v>
      </c>
      <c r="Q2072" s="235">
        <v>187</v>
      </c>
      <c r="R2072" s="235">
        <v>47296</v>
      </c>
      <c r="S2072" s="236">
        <v>9931.7000000000007</v>
      </c>
      <c r="T2072" s="236">
        <v>1180.7</v>
      </c>
      <c r="U2072" s="236"/>
      <c r="V2072" s="235">
        <v>136465</v>
      </c>
      <c r="W2072" s="235">
        <v>49255</v>
      </c>
      <c r="X2072" s="235">
        <v>44443</v>
      </c>
      <c r="Y2072" s="235">
        <v>92778</v>
      </c>
      <c r="Z2072" s="235">
        <v>79231</v>
      </c>
      <c r="AB2072" s="279">
        <f t="shared" si="2437"/>
        <v>45288</v>
      </c>
      <c r="AC2072" s="279" t="s">
        <v>212</v>
      </c>
      <c r="AD2072" s="303">
        <f t="shared" si="2433"/>
        <v>112</v>
      </c>
      <c r="AE2072" s="303">
        <f t="shared" si="2446"/>
        <v>440</v>
      </c>
    </row>
    <row r="2073" spans="1:31" ht="18" customHeight="1" x14ac:dyDescent="0.2">
      <c r="A2073" s="279">
        <f t="shared" si="2415"/>
        <v>44924</v>
      </c>
      <c r="B2073" s="279" t="s">
        <v>213</v>
      </c>
      <c r="C2073" s="299">
        <f t="shared" si="2447"/>
        <v>2025</v>
      </c>
      <c r="D2073" s="300">
        <f t="shared" si="2448"/>
        <v>1104</v>
      </c>
      <c r="E2073" s="301">
        <f t="shared" si="2420"/>
        <v>1792.0000000000528</v>
      </c>
      <c r="F2073" s="301">
        <f t="shared" si="2449"/>
        <v>129</v>
      </c>
      <c r="G2073" s="302">
        <f t="shared" si="2450"/>
        <v>5050.0000000000528</v>
      </c>
      <c r="H2073" s="199"/>
      <c r="I2073" s="199"/>
      <c r="J2073" s="200"/>
      <c r="K2073" s="201"/>
      <c r="L2073" s="276"/>
      <c r="M2073" s="276"/>
      <c r="N2073" s="235">
        <v>84060</v>
      </c>
      <c r="O2073" s="235">
        <v>35194</v>
      </c>
      <c r="P2073" s="235">
        <v>65170</v>
      </c>
      <c r="Q2073" s="235">
        <v>242</v>
      </c>
      <c r="R2073" s="235">
        <v>47296</v>
      </c>
      <c r="S2073" s="236">
        <v>9950.4</v>
      </c>
      <c r="T2073" s="236">
        <v>1181.2</v>
      </c>
      <c r="U2073" s="236"/>
      <c r="V2073" s="235">
        <v>136624</v>
      </c>
      <c r="W2073" s="235">
        <v>49278</v>
      </c>
      <c r="X2073" s="235">
        <v>44505</v>
      </c>
      <c r="Y2073" s="235">
        <v>92778</v>
      </c>
      <c r="Z2073" s="235">
        <v>79364</v>
      </c>
      <c r="AB2073" s="279">
        <f t="shared" si="2437"/>
        <v>45289</v>
      </c>
      <c r="AC2073" s="279" t="s">
        <v>213</v>
      </c>
      <c r="AD2073" s="303">
        <f t="shared" si="2433"/>
        <v>112</v>
      </c>
      <c r="AE2073" s="303">
        <f t="shared" si="2446"/>
        <v>440</v>
      </c>
    </row>
    <row r="2074" spans="1:31" ht="18" customHeight="1" x14ac:dyDescent="0.2">
      <c r="A2074" s="279">
        <f t="shared" si="2415"/>
        <v>44925</v>
      </c>
      <c r="B2074" s="279" t="s">
        <v>214</v>
      </c>
      <c r="C2074" s="299">
        <f t="shared" ref="C2074:C2077" si="2451">(V2075-V2074)*1+(W2075-W2074)*32+(X2075-X2074)*12+(Y2075-Y2074)*6</f>
        <v>0</v>
      </c>
      <c r="D2074" s="300">
        <f t="shared" ref="D2074:D2077" si="2452">(N2075-N2074)*8+(P2075-P2074)*8+(R2075-R2074)*1</f>
        <v>0</v>
      </c>
      <c r="E2074" s="301">
        <f t="shared" si="2420"/>
        <v>0</v>
      </c>
      <c r="F2074" s="301">
        <f t="shared" ref="F2074:F2077" si="2453">(Z2075-Z2074)*1</f>
        <v>0</v>
      </c>
      <c r="G2074" s="302">
        <f t="shared" ref="G2074:G2077" si="2454">C2074+D2074+F2074+E2074</f>
        <v>0</v>
      </c>
      <c r="H2074" s="199"/>
      <c r="I2074" s="199"/>
      <c r="J2074" s="200"/>
      <c r="K2074" s="201"/>
      <c r="L2074" s="276"/>
      <c r="M2074" s="276"/>
      <c r="N2074" s="235">
        <v>84184</v>
      </c>
      <c r="O2074" s="235">
        <v>35235</v>
      </c>
      <c r="P2074" s="235">
        <v>65184</v>
      </c>
      <c r="Q2074" s="235">
        <v>297</v>
      </c>
      <c r="R2074" s="235">
        <v>47296</v>
      </c>
      <c r="S2074" s="236">
        <v>9972.6</v>
      </c>
      <c r="T2074" s="236">
        <v>1181.5999999999999</v>
      </c>
      <c r="U2074" s="236"/>
      <c r="V2074" s="235">
        <v>136785</v>
      </c>
      <c r="W2074" s="235">
        <v>49307</v>
      </c>
      <c r="X2074" s="235">
        <v>44583</v>
      </c>
      <c r="Y2074" s="235">
        <v>92778</v>
      </c>
      <c r="Z2074" s="235">
        <v>79493</v>
      </c>
      <c r="AB2074" s="279">
        <f t="shared" si="2437"/>
        <v>45290</v>
      </c>
      <c r="AC2074" s="279" t="s">
        <v>214</v>
      </c>
      <c r="AD2074" s="303">
        <f t="shared" si="2433"/>
        <v>0</v>
      </c>
      <c r="AE2074" s="303">
        <f t="shared" si="2446"/>
        <v>0</v>
      </c>
    </row>
    <row r="2075" spans="1:31" ht="18" customHeight="1" x14ac:dyDescent="0.2">
      <c r="A2075" s="279">
        <f t="shared" si="2415"/>
        <v>44926</v>
      </c>
      <c r="B2075" s="279" t="s">
        <v>215</v>
      </c>
      <c r="C2075" s="299">
        <f t="shared" si="2451"/>
        <v>0</v>
      </c>
      <c r="D2075" s="300">
        <f t="shared" si="2452"/>
        <v>0</v>
      </c>
      <c r="E2075" s="301">
        <f t="shared" si="2420"/>
        <v>0</v>
      </c>
      <c r="F2075" s="301">
        <f t="shared" si="2453"/>
        <v>0</v>
      </c>
      <c r="G2075" s="302">
        <f t="shared" si="2454"/>
        <v>0</v>
      </c>
      <c r="H2075" s="199"/>
      <c r="I2075" s="199"/>
      <c r="J2075" s="200"/>
      <c r="K2075" s="201"/>
      <c r="L2075" s="276"/>
      <c r="M2075" s="276"/>
      <c r="N2075" s="153">
        <v>84184</v>
      </c>
      <c r="O2075" s="153">
        <v>35235</v>
      </c>
      <c r="P2075" s="153">
        <v>65184</v>
      </c>
      <c r="Q2075" s="153">
        <v>297</v>
      </c>
      <c r="R2075" s="153">
        <v>47296</v>
      </c>
      <c r="S2075" s="154">
        <v>9972.6</v>
      </c>
      <c r="T2075" s="154">
        <v>1181.5999999999999</v>
      </c>
      <c r="U2075" s="154"/>
      <c r="V2075" s="153">
        <v>136785</v>
      </c>
      <c r="W2075" s="153">
        <v>49307</v>
      </c>
      <c r="X2075" s="153">
        <v>44583</v>
      </c>
      <c r="Y2075" s="153">
        <v>92778</v>
      </c>
      <c r="Z2075" s="153">
        <v>79493</v>
      </c>
      <c r="AB2075" s="279">
        <f t="shared" si="2437"/>
        <v>45291</v>
      </c>
      <c r="AC2075" s="279" t="s">
        <v>215</v>
      </c>
      <c r="AD2075" s="303">
        <f t="shared" si="2433"/>
        <v>0</v>
      </c>
      <c r="AE2075" s="303">
        <f t="shared" si="2446"/>
        <v>0</v>
      </c>
    </row>
    <row r="2076" spans="1:31" ht="18" customHeight="1" x14ac:dyDescent="0.2">
      <c r="A2076" s="279">
        <f t="shared" si="2415"/>
        <v>44927</v>
      </c>
      <c r="B2076" s="279" t="s">
        <v>216</v>
      </c>
      <c r="C2076" s="299">
        <f t="shared" si="2451"/>
        <v>0</v>
      </c>
      <c r="D2076" s="300">
        <f t="shared" si="2452"/>
        <v>0</v>
      </c>
      <c r="E2076" s="301">
        <f t="shared" si="2420"/>
        <v>0</v>
      </c>
      <c r="F2076" s="301">
        <f t="shared" si="2453"/>
        <v>0</v>
      </c>
      <c r="G2076" s="302">
        <f t="shared" si="2454"/>
        <v>0</v>
      </c>
      <c r="H2076" s="199"/>
      <c r="I2076" s="199"/>
      <c r="J2076" s="200"/>
      <c r="K2076" s="201"/>
      <c r="L2076" s="276"/>
      <c r="M2076" s="276"/>
      <c r="N2076" s="153">
        <v>84184</v>
      </c>
      <c r="O2076" s="153">
        <v>35235</v>
      </c>
      <c r="P2076" s="153">
        <v>65184</v>
      </c>
      <c r="Q2076" s="153">
        <v>297</v>
      </c>
      <c r="R2076" s="153">
        <v>47296</v>
      </c>
      <c r="S2076" s="154">
        <v>9972.6</v>
      </c>
      <c r="T2076" s="154">
        <v>1181.5999999999999</v>
      </c>
      <c r="U2076" s="154"/>
      <c r="V2076" s="153">
        <v>136785</v>
      </c>
      <c r="W2076" s="153">
        <v>49307</v>
      </c>
      <c r="X2076" s="153">
        <v>44583</v>
      </c>
      <c r="Y2076" s="153">
        <v>92778</v>
      </c>
      <c r="Z2076" s="153">
        <v>79493</v>
      </c>
      <c r="AB2076" s="279">
        <f t="shared" si="2437"/>
        <v>45292</v>
      </c>
      <c r="AC2076" s="279" t="s">
        <v>216</v>
      </c>
      <c r="AD2076" s="303">
        <f t="shared" si="2433"/>
        <v>0</v>
      </c>
      <c r="AE2076" s="303">
        <f t="shared" si="2446"/>
        <v>0</v>
      </c>
    </row>
    <row r="2077" spans="1:31" ht="18" customHeight="1" x14ac:dyDescent="0.2">
      <c r="A2077" s="279">
        <f t="shared" si="2415"/>
        <v>44928</v>
      </c>
      <c r="B2077" s="279" t="s">
        <v>210</v>
      </c>
      <c r="C2077" s="299">
        <f t="shared" si="2451"/>
        <v>3284</v>
      </c>
      <c r="D2077" s="300">
        <f t="shared" si="2452"/>
        <v>704</v>
      </c>
      <c r="E2077" s="301">
        <f t="shared" si="2420"/>
        <v>2559.9999999999181</v>
      </c>
      <c r="F2077" s="301">
        <f t="shared" si="2453"/>
        <v>522</v>
      </c>
      <c r="G2077" s="302">
        <f t="shared" si="2454"/>
        <v>7069.9999999999181</v>
      </c>
      <c r="H2077" s="199"/>
      <c r="I2077" s="199"/>
      <c r="J2077" s="200"/>
      <c r="K2077" s="201"/>
      <c r="L2077" s="276"/>
      <c r="M2077" s="276"/>
      <c r="N2077" s="153">
        <v>84184</v>
      </c>
      <c r="O2077" s="153">
        <v>35235</v>
      </c>
      <c r="P2077" s="153">
        <v>65184</v>
      </c>
      <c r="Q2077" s="153">
        <v>297</v>
      </c>
      <c r="R2077" s="153">
        <v>47296</v>
      </c>
      <c r="S2077" s="154">
        <v>9972.6</v>
      </c>
      <c r="T2077" s="154">
        <v>1181.5999999999999</v>
      </c>
      <c r="U2077" s="154"/>
      <c r="V2077" s="153">
        <v>136785</v>
      </c>
      <c r="W2077" s="153">
        <v>49307</v>
      </c>
      <c r="X2077" s="153">
        <v>44583</v>
      </c>
      <c r="Y2077" s="153">
        <v>92778</v>
      </c>
      <c r="Z2077" s="153">
        <v>79493</v>
      </c>
      <c r="AB2077" s="279">
        <f t="shared" si="2437"/>
        <v>45293</v>
      </c>
      <c r="AC2077" s="279" t="s">
        <v>210</v>
      </c>
      <c r="AD2077" s="303">
        <f t="shared" si="2433"/>
        <v>256</v>
      </c>
      <c r="AE2077" s="303">
        <f t="shared" si="2446"/>
        <v>992</v>
      </c>
    </row>
    <row r="2078" spans="1:31" ht="18" customHeight="1" x14ac:dyDescent="0.2">
      <c r="A2078" s="279">
        <f t="shared" si="2415"/>
        <v>44929</v>
      </c>
      <c r="B2078" s="279" t="s">
        <v>211</v>
      </c>
      <c r="C2078" s="299">
        <f t="shared" ref="C2078:C2080" si="2455">(V2079-V2078)*1+(W2079-W2078)*32+(X2079-X2078)*12+(Y2079-Y2078)*6</f>
        <v>1714</v>
      </c>
      <c r="D2078" s="300">
        <f t="shared" ref="D2078:D2080" si="2456">(N2079-N2078)*8+(P2079-P2078)*8+(R2079-R2078)*1</f>
        <v>1008</v>
      </c>
      <c r="E2078" s="301">
        <f t="shared" si="2420"/>
        <v>1780</v>
      </c>
      <c r="F2078" s="301">
        <f t="shared" ref="F2078:F2080" si="2457">(Z2079-Z2078)*1</f>
        <v>132</v>
      </c>
      <c r="G2078" s="302">
        <f t="shared" ref="G2078:G2080" si="2458">C2078+D2078+F2078+E2078</f>
        <v>4634</v>
      </c>
      <c r="H2078" s="199"/>
      <c r="I2078" s="199"/>
      <c r="J2078" s="200"/>
      <c r="K2078" s="201"/>
      <c r="L2078" s="276"/>
      <c r="M2078" s="276"/>
      <c r="N2078" s="235">
        <v>84240</v>
      </c>
      <c r="O2078" s="235">
        <v>35291</v>
      </c>
      <c r="P2078" s="235">
        <v>65216</v>
      </c>
      <c r="Q2078" s="235">
        <v>421</v>
      </c>
      <c r="R2078" s="235">
        <v>47296</v>
      </c>
      <c r="S2078" s="236">
        <v>10003.799999999999</v>
      </c>
      <c r="T2078" s="236">
        <v>1183.2</v>
      </c>
      <c r="U2078" s="236"/>
      <c r="V2078" s="235">
        <v>137297</v>
      </c>
      <c r="W2078" s="235">
        <v>49355</v>
      </c>
      <c r="X2078" s="235">
        <v>44686</v>
      </c>
      <c r="Y2078" s="235">
        <v>92778</v>
      </c>
      <c r="Z2078" s="235">
        <v>80015</v>
      </c>
      <c r="AB2078" s="279">
        <f t="shared" si="2437"/>
        <v>45294</v>
      </c>
      <c r="AC2078" s="279" t="s">
        <v>211</v>
      </c>
      <c r="AD2078" s="303">
        <f t="shared" si="2433"/>
        <v>128</v>
      </c>
      <c r="AE2078" s="303">
        <f t="shared" si="2446"/>
        <v>480</v>
      </c>
    </row>
    <row r="2079" spans="1:31" ht="18" customHeight="1" x14ac:dyDescent="0.2">
      <c r="A2079" s="279">
        <f t="shared" si="2415"/>
        <v>44930</v>
      </c>
      <c r="B2079" s="279" t="s">
        <v>212</v>
      </c>
      <c r="C2079" s="299">
        <f t="shared" si="2455"/>
        <v>1990</v>
      </c>
      <c r="D2079" s="300">
        <f t="shared" si="2456"/>
        <v>928</v>
      </c>
      <c r="E2079" s="301">
        <f t="shared" si="2420"/>
        <v>1644.0000000000873</v>
      </c>
      <c r="F2079" s="301">
        <f t="shared" si="2457"/>
        <v>130</v>
      </c>
      <c r="G2079" s="302">
        <f t="shared" si="2458"/>
        <v>4692.0000000000873</v>
      </c>
      <c r="H2079" s="199"/>
      <c r="I2079" s="199"/>
      <c r="J2079" s="200"/>
      <c r="K2079" s="201"/>
      <c r="L2079" s="276"/>
      <c r="M2079" s="276"/>
      <c r="N2079" s="235">
        <v>84350</v>
      </c>
      <c r="O2079" s="235">
        <v>35330</v>
      </c>
      <c r="P2079" s="235">
        <v>65232</v>
      </c>
      <c r="Q2079" s="235">
        <v>481</v>
      </c>
      <c r="R2079" s="235">
        <v>47296</v>
      </c>
      <c r="S2079" s="236">
        <v>10025.799999999999</v>
      </c>
      <c r="T2079" s="236">
        <v>1183.7</v>
      </c>
      <c r="U2079" s="236"/>
      <c r="V2079" s="235">
        <v>137467</v>
      </c>
      <c r="W2079" s="235">
        <v>49383</v>
      </c>
      <c r="X2079" s="235">
        <v>44740</v>
      </c>
      <c r="Y2079" s="235">
        <v>92778</v>
      </c>
      <c r="Z2079" s="235">
        <v>80147</v>
      </c>
      <c r="AB2079" s="279">
        <f t="shared" si="2437"/>
        <v>45295</v>
      </c>
      <c r="AC2079" s="279" t="s">
        <v>212</v>
      </c>
      <c r="AD2079" s="303">
        <f t="shared" si="2433"/>
        <v>128</v>
      </c>
      <c r="AE2079" s="303">
        <f t="shared" si="2446"/>
        <v>488</v>
      </c>
    </row>
    <row r="2080" spans="1:31" ht="18" customHeight="1" x14ac:dyDescent="0.2">
      <c r="A2080" s="279">
        <f t="shared" si="2415"/>
        <v>44931</v>
      </c>
      <c r="B2080" s="279" t="s">
        <v>213</v>
      </c>
      <c r="C2080" s="299">
        <f t="shared" si="2455"/>
        <v>1911</v>
      </c>
      <c r="D2080" s="300">
        <f t="shared" si="2456"/>
        <v>1360</v>
      </c>
      <c r="E2080" s="301">
        <f t="shared" si="2420"/>
        <v>1567.9999999999654</v>
      </c>
      <c r="F2080" s="301">
        <f t="shared" si="2457"/>
        <v>116</v>
      </c>
      <c r="G2080" s="302">
        <f t="shared" si="2458"/>
        <v>4954.9999999999654</v>
      </c>
      <c r="H2080" s="199"/>
      <c r="I2080" s="199"/>
      <c r="J2080" s="200"/>
      <c r="K2080" s="201"/>
      <c r="L2080" s="276"/>
      <c r="M2080" s="276"/>
      <c r="N2080" s="235">
        <v>84450</v>
      </c>
      <c r="O2080" s="235">
        <v>35373</v>
      </c>
      <c r="P2080" s="235">
        <v>65248</v>
      </c>
      <c r="Q2080" s="235">
        <v>542</v>
      </c>
      <c r="R2080" s="235">
        <v>47296</v>
      </c>
      <c r="S2080" s="236">
        <v>10046.1</v>
      </c>
      <c r="T2080" s="236">
        <v>1184.2</v>
      </c>
      <c r="U2080" s="236"/>
      <c r="V2080" s="235">
        <v>137613</v>
      </c>
      <c r="W2080" s="235">
        <v>49411</v>
      </c>
      <c r="X2080" s="235">
        <v>44819</v>
      </c>
      <c r="Y2080" s="235">
        <v>92778</v>
      </c>
      <c r="Z2080" s="235">
        <v>80277</v>
      </c>
      <c r="AB2080" s="279">
        <f t="shared" si="2437"/>
        <v>45296</v>
      </c>
      <c r="AC2080" s="279" t="s">
        <v>213</v>
      </c>
      <c r="AD2080" s="303">
        <f t="shared" si="2433"/>
        <v>136</v>
      </c>
      <c r="AE2080" s="303">
        <f t="shared" si="2446"/>
        <v>528</v>
      </c>
    </row>
    <row r="2081" spans="1:31" ht="18" customHeight="1" x14ac:dyDescent="0.2">
      <c r="A2081" s="279">
        <f t="shared" si="2415"/>
        <v>44932</v>
      </c>
      <c r="B2081" s="279" t="s">
        <v>214</v>
      </c>
      <c r="C2081" s="299">
        <f t="shared" ref="C2081" si="2459">(V2082-V2081)*1+(W2082-W2081)*32+(X2082-X2081)*12+(Y2082-Y2081)*6</f>
        <v>1538</v>
      </c>
      <c r="D2081" s="300">
        <f t="shared" ref="D2081" si="2460">(N2082-N2081)*8+(P2082-P2081)*8+(R2082-R2081)*1</f>
        <v>1136</v>
      </c>
      <c r="E2081" s="301">
        <f t="shared" si="2420"/>
        <v>296.00000000000364</v>
      </c>
      <c r="F2081" s="301">
        <f t="shared" ref="F2081" si="2461">(Z2082-Z2081)*1</f>
        <v>103</v>
      </c>
      <c r="G2081" s="302">
        <f t="shared" ref="G2081" si="2462">C2081+D2081+F2081+E2081</f>
        <v>3073.0000000000036</v>
      </c>
      <c r="H2081" s="199"/>
      <c r="I2081" s="199"/>
      <c r="J2081" s="200"/>
      <c r="K2081" s="201"/>
      <c r="L2081" s="276"/>
      <c r="M2081" s="276"/>
      <c r="N2081" s="235">
        <v>84603</v>
      </c>
      <c r="O2081" s="235">
        <v>35424</v>
      </c>
      <c r="P2081" s="235">
        <v>65265</v>
      </c>
      <c r="Q2081" s="235">
        <v>608</v>
      </c>
      <c r="R2081" s="235">
        <v>47296</v>
      </c>
      <c r="S2081" s="236">
        <v>10065.5</v>
      </c>
      <c r="T2081" s="236">
        <v>1184.5999999999999</v>
      </c>
      <c r="U2081" s="236"/>
      <c r="V2081" s="235">
        <v>137764</v>
      </c>
      <c r="W2081" s="235">
        <v>49439</v>
      </c>
      <c r="X2081" s="235">
        <v>44891</v>
      </c>
      <c r="Y2081" s="235">
        <v>92778</v>
      </c>
      <c r="Z2081" s="235">
        <v>80393</v>
      </c>
      <c r="AB2081" s="279">
        <f t="shared" si="2437"/>
        <v>45297</v>
      </c>
      <c r="AC2081" s="279" t="s">
        <v>214</v>
      </c>
      <c r="AD2081" s="303">
        <f t="shared" si="2433"/>
        <v>112</v>
      </c>
      <c r="AE2081" s="303">
        <f t="shared" si="2446"/>
        <v>448</v>
      </c>
    </row>
    <row r="2082" spans="1:31" ht="18" customHeight="1" x14ac:dyDescent="0.2">
      <c r="A2082" s="279">
        <f t="shared" si="2415"/>
        <v>44933</v>
      </c>
      <c r="B2082" s="279" t="s">
        <v>215</v>
      </c>
      <c r="C2082" s="299">
        <f t="shared" ref="C2082:C2083" si="2463">(V2083-V2082)*1+(W2083-W2082)*32+(X2083-X2082)*12+(Y2083-Y2082)*6</f>
        <v>0</v>
      </c>
      <c r="D2082" s="300">
        <f t="shared" ref="D2082:D2083" si="2464">(N2083-N2082)*8+(P2083-P2082)*8+(R2083-R2082)*1</f>
        <v>0</v>
      </c>
      <c r="E2082" s="301">
        <f t="shared" si="2420"/>
        <v>0</v>
      </c>
      <c r="F2082" s="301">
        <f t="shared" ref="F2082:F2083" si="2465">(Z2083-Z2082)*1</f>
        <v>0</v>
      </c>
      <c r="G2082" s="302">
        <f t="shared" ref="G2082:G2083" si="2466">C2082+D2082+F2082+E2082</f>
        <v>0</v>
      </c>
      <c r="H2082" s="199"/>
      <c r="I2082" s="199"/>
      <c r="J2082" s="200"/>
      <c r="K2082" s="201"/>
      <c r="L2082" s="276"/>
      <c r="M2082" s="276"/>
      <c r="N2082" s="235">
        <v>84731</v>
      </c>
      <c r="O2082" s="235">
        <v>35472</v>
      </c>
      <c r="P2082" s="235">
        <v>65279</v>
      </c>
      <c r="Q2082" s="235">
        <v>664</v>
      </c>
      <c r="R2082" s="235">
        <v>47296</v>
      </c>
      <c r="S2082" s="236">
        <v>10069</v>
      </c>
      <c r="T2082" s="236">
        <v>1185</v>
      </c>
      <c r="U2082" s="236"/>
      <c r="V2082" s="235">
        <v>137906</v>
      </c>
      <c r="W2082" s="235">
        <v>49462</v>
      </c>
      <c r="X2082" s="235">
        <v>44946</v>
      </c>
      <c r="Y2082" s="235">
        <v>92778</v>
      </c>
      <c r="Z2082" s="235">
        <v>80496</v>
      </c>
      <c r="AB2082" s="279">
        <f t="shared" si="2437"/>
        <v>45298</v>
      </c>
      <c r="AC2082" s="279" t="s">
        <v>215</v>
      </c>
      <c r="AD2082" s="303">
        <f t="shared" si="2433"/>
        <v>0</v>
      </c>
      <c r="AE2082" s="303">
        <f t="shared" si="2446"/>
        <v>0</v>
      </c>
    </row>
    <row r="2083" spans="1:31" ht="18" customHeight="1" x14ac:dyDescent="0.2">
      <c r="A2083" s="279">
        <f t="shared" si="2415"/>
        <v>44934</v>
      </c>
      <c r="B2083" s="279" t="s">
        <v>216</v>
      </c>
      <c r="C2083" s="299">
        <f t="shared" si="2463"/>
        <v>1911</v>
      </c>
      <c r="D2083" s="300">
        <f t="shared" si="2464"/>
        <v>1456</v>
      </c>
      <c r="E2083" s="301">
        <f t="shared" si="2420"/>
        <v>732.00000000002547</v>
      </c>
      <c r="F2083" s="301">
        <f t="shared" si="2465"/>
        <v>261</v>
      </c>
      <c r="G2083" s="302">
        <f t="shared" si="2466"/>
        <v>4360.0000000000255</v>
      </c>
      <c r="H2083" s="199"/>
      <c r="I2083" s="199"/>
      <c r="J2083" s="200"/>
      <c r="K2083" s="201"/>
      <c r="L2083" s="276"/>
      <c r="M2083" s="276"/>
      <c r="N2083" s="153">
        <v>84731</v>
      </c>
      <c r="O2083" s="153">
        <v>35472</v>
      </c>
      <c r="P2083" s="153">
        <v>65279</v>
      </c>
      <c r="Q2083" s="153">
        <v>664</v>
      </c>
      <c r="R2083" s="153">
        <v>47296</v>
      </c>
      <c r="S2083" s="154">
        <v>10069</v>
      </c>
      <c r="T2083" s="154">
        <v>1185</v>
      </c>
      <c r="U2083" s="154"/>
      <c r="V2083" s="153">
        <v>137906</v>
      </c>
      <c r="W2083" s="153">
        <v>49462</v>
      </c>
      <c r="X2083" s="153">
        <v>44946</v>
      </c>
      <c r="Y2083" s="153">
        <v>92778</v>
      </c>
      <c r="Z2083" s="153">
        <v>80496</v>
      </c>
      <c r="AB2083" s="279">
        <f t="shared" si="2437"/>
        <v>45299</v>
      </c>
      <c r="AC2083" s="279" t="s">
        <v>216</v>
      </c>
      <c r="AD2083" s="303">
        <f t="shared" si="2433"/>
        <v>192</v>
      </c>
      <c r="AE2083" s="303">
        <f t="shared" si="2446"/>
        <v>728</v>
      </c>
    </row>
    <row r="2084" spans="1:31" ht="18" customHeight="1" x14ac:dyDescent="0.2">
      <c r="A2084" s="279">
        <f t="shared" si="2415"/>
        <v>44935</v>
      </c>
      <c r="B2084" s="279" t="s">
        <v>210</v>
      </c>
      <c r="C2084" s="299">
        <f t="shared" ref="C2084:C2090" si="2467">(V2085-V2084)*1+(W2085-W2084)*32+(X2085-X2084)*12+(Y2085-Y2084)*6</f>
        <v>1871</v>
      </c>
      <c r="D2084" s="300">
        <f t="shared" ref="D2084:D2090" si="2468">(N2085-N2084)*8+(P2085-P2084)*8+(R2085-R2084)*1</f>
        <v>1120</v>
      </c>
      <c r="E2084" s="301">
        <f t="shared" si="2420"/>
        <v>1171.9999999999709</v>
      </c>
      <c r="F2084" s="301">
        <f t="shared" ref="F2084:F2090" si="2469">(Z2085-Z2084)*1</f>
        <v>116</v>
      </c>
      <c r="G2084" s="302">
        <f t="shared" ref="G2084:G2090" si="2470">C2084+D2084+F2084+E2084</f>
        <v>4278.9999999999709</v>
      </c>
      <c r="H2084" s="199"/>
      <c r="I2084" s="199"/>
      <c r="J2084" s="200"/>
      <c r="K2084" s="201"/>
      <c r="L2084" s="276"/>
      <c r="M2084" s="276"/>
      <c r="N2084" s="235">
        <v>84889</v>
      </c>
      <c r="O2084" s="235">
        <v>35524</v>
      </c>
      <c r="P2084" s="235">
        <v>65303</v>
      </c>
      <c r="Q2084" s="235">
        <v>755</v>
      </c>
      <c r="R2084" s="235">
        <v>47296</v>
      </c>
      <c r="S2084" s="236">
        <v>10077.6</v>
      </c>
      <c r="T2084" s="236">
        <v>1186.0999999999999</v>
      </c>
      <c r="U2084" s="236"/>
      <c r="V2084" s="235">
        <v>138149</v>
      </c>
      <c r="W2084" s="235">
        <v>49492</v>
      </c>
      <c r="X2084" s="235">
        <v>45005</v>
      </c>
      <c r="Y2084" s="235">
        <v>92778</v>
      </c>
      <c r="Z2084" s="235">
        <v>80757</v>
      </c>
      <c r="AB2084" s="279">
        <f t="shared" si="2437"/>
        <v>45300</v>
      </c>
      <c r="AC2084" s="279" t="s">
        <v>210</v>
      </c>
      <c r="AD2084" s="303">
        <f t="shared" si="2433"/>
        <v>128</v>
      </c>
      <c r="AE2084" s="303">
        <f t="shared" si="2446"/>
        <v>504</v>
      </c>
    </row>
    <row r="2085" spans="1:31" ht="18" customHeight="1" x14ac:dyDescent="0.2">
      <c r="A2085" s="279">
        <f t="shared" si="2415"/>
        <v>44936</v>
      </c>
      <c r="B2085" s="279" t="s">
        <v>211</v>
      </c>
      <c r="C2085" s="299">
        <f t="shared" si="2467"/>
        <v>1576</v>
      </c>
      <c r="D2085" s="300">
        <f t="shared" si="2468"/>
        <v>1192</v>
      </c>
      <c r="E2085" s="301">
        <f t="shared" si="2420"/>
        <v>1127.9999999999472</v>
      </c>
      <c r="F2085" s="301">
        <f t="shared" si="2469"/>
        <v>103</v>
      </c>
      <c r="G2085" s="302">
        <f t="shared" si="2470"/>
        <v>3998.9999999999472</v>
      </c>
      <c r="H2085" s="199"/>
      <c r="I2085" s="199"/>
      <c r="J2085" s="200"/>
      <c r="K2085" s="201"/>
      <c r="L2085" s="276"/>
      <c r="M2085" s="276"/>
      <c r="N2085" s="235">
        <v>85013</v>
      </c>
      <c r="O2085" s="235">
        <v>35572</v>
      </c>
      <c r="P2085" s="235">
        <v>65319</v>
      </c>
      <c r="Q2085" s="235">
        <v>818</v>
      </c>
      <c r="R2085" s="235">
        <v>47296</v>
      </c>
      <c r="S2085" s="236">
        <v>10092</v>
      </c>
      <c r="T2085" s="236">
        <v>1186.5999999999999</v>
      </c>
      <c r="U2085" s="236"/>
      <c r="V2085" s="235">
        <v>138300</v>
      </c>
      <c r="W2085" s="235">
        <v>49521</v>
      </c>
      <c r="X2085" s="235">
        <v>45071</v>
      </c>
      <c r="Y2085" s="235">
        <v>92778</v>
      </c>
      <c r="Z2085" s="235">
        <v>80873</v>
      </c>
      <c r="AB2085" s="279">
        <f t="shared" si="2437"/>
        <v>45301</v>
      </c>
      <c r="AC2085" s="279" t="s">
        <v>211</v>
      </c>
      <c r="AD2085" s="303">
        <f t="shared" si="2433"/>
        <v>128</v>
      </c>
      <c r="AE2085" s="303">
        <f t="shared" si="2446"/>
        <v>520</v>
      </c>
    </row>
    <row r="2086" spans="1:31" ht="18" customHeight="1" x14ac:dyDescent="0.2">
      <c r="A2086" s="279">
        <f t="shared" si="2415"/>
        <v>44937</v>
      </c>
      <c r="B2086" s="279" t="s">
        <v>212</v>
      </c>
      <c r="C2086" s="299">
        <f t="shared" si="2467"/>
        <v>1532</v>
      </c>
      <c r="D2086" s="300">
        <f t="shared" si="2468"/>
        <v>1160</v>
      </c>
      <c r="E2086" s="301">
        <f t="shared" si="2420"/>
        <v>1300.0000000000819</v>
      </c>
      <c r="F2086" s="301">
        <f t="shared" si="2469"/>
        <v>100</v>
      </c>
      <c r="G2086" s="302">
        <f t="shared" si="2470"/>
        <v>4092.0000000000819</v>
      </c>
      <c r="H2086" s="199"/>
      <c r="I2086" s="199"/>
      <c r="J2086" s="200"/>
      <c r="K2086" s="201"/>
      <c r="L2086" s="276"/>
      <c r="M2086" s="276"/>
      <c r="N2086" s="235">
        <v>85146</v>
      </c>
      <c r="O2086" s="235">
        <v>35622</v>
      </c>
      <c r="P2086" s="235">
        <v>65335</v>
      </c>
      <c r="Q2086" s="235">
        <v>883</v>
      </c>
      <c r="R2086" s="235">
        <v>47296</v>
      </c>
      <c r="S2086" s="236">
        <v>10105.799999999999</v>
      </c>
      <c r="T2086" s="236">
        <v>1187.2</v>
      </c>
      <c r="U2086" s="236"/>
      <c r="V2086" s="235">
        <v>138448</v>
      </c>
      <c r="W2086" s="235">
        <v>49545</v>
      </c>
      <c r="X2086" s="235">
        <v>45126</v>
      </c>
      <c r="Y2086" s="235">
        <v>92778</v>
      </c>
      <c r="Z2086" s="235">
        <v>80976</v>
      </c>
      <c r="AB2086" s="279">
        <f t="shared" si="2437"/>
        <v>45302</v>
      </c>
      <c r="AC2086" s="279" t="s">
        <v>212</v>
      </c>
      <c r="AD2086" s="303">
        <f t="shared" si="2433"/>
        <v>136</v>
      </c>
      <c r="AE2086" s="303">
        <f t="shared" si="2446"/>
        <v>544</v>
      </c>
    </row>
    <row r="2087" spans="1:31" ht="18" customHeight="1" x14ac:dyDescent="0.2">
      <c r="A2087" s="279">
        <f t="shared" si="2415"/>
        <v>44938</v>
      </c>
      <c r="B2087" s="279" t="s">
        <v>213</v>
      </c>
      <c r="C2087" s="299">
        <f t="shared" si="2467"/>
        <v>1379</v>
      </c>
      <c r="D2087" s="300">
        <f t="shared" si="2468"/>
        <v>1136</v>
      </c>
      <c r="E2087" s="301">
        <f t="shared" si="2420"/>
        <v>1436.0000000000309</v>
      </c>
      <c r="F2087" s="301">
        <f t="shared" si="2469"/>
        <v>91</v>
      </c>
      <c r="G2087" s="302">
        <f t="shared" si="2470"/>
        <v>4042.0000000000309</v>
      </c>
      <c r="H2087" s="199"/>
      <c r="I2087" s="199"/>
      <c r="J2087" s="200"/>
      <c r="K2087" s="201"/>
      <c r="L2087" s="276"/>
      <c r="M2087" s="276"/>
      <c r="N2087" s="235">
        <v>85274</v>
      </c>
      <c r="O2087" s="235">
        <v>35671</v>
      </c>
      <c r="P2087" s="235">
        <v>65352</v>
      </c>
      <c r="Q2087" s="235">
        <v>951</v>
      </c>
      <c r="R2087" s="235">
        <v>47296</v>
      </c>
      <c r="S2087" s="236">
        <v>10121.6</v>
      </c>
      <c r="T2087" s="236">
        <v>1188.0999999999999</v>
      </c>
      <c r="U2087" s="236"/>
      <c r="V2087" s="235">
        <v>138596</v>
      </c>
      <c r="W2087" s="235">
        <v>49568</v>
      </c>
      <c r="X2087" s="235">
        <v>45180</v>
      </c>
      <c r="Y2087" s="235">
        <v>92778</v>
      </c>
      <c r="Z2087" s="235">
        <v>81076</v>
      </c>
      <c r="AB2087" s="279">
        <f t="shared" si="2437"/>
        <v>45303</v>
      </c>
      <c r="AC2087" s="279" t="s">
        <v>213</v>
      </c>
      <c r="AD2087" s="303">
        <f t="shared" ref="AD2087:AD2104" si="2471">(P2088-P2087)*8</f>
        <v>136</v>
      </c>
      <c r="AE2087" s="303">
        <f t="shared" si="2446"/>
        <v>512</v>
      </c>
    </row>
    <row r="2088" spans="1:31" ht="18" customHeight="1" x14ac:dyDescent="0.2">
      <c r="A2088" s="279">
        <f t="shared" ref="A2088:A2151" si="2472">A2087+1</f>
        <v>44939</v>
      </c>
      <c r="B2088" s="279" t="s">
        <v>214</v>
      </c>
      <c r="C2088" s="299">
        <f t="shared" si="2467"/>
        <v>0</v>
      </c>
      <c r="D2088" s="300">
        <f t="shared" si="2468"/>
        <v>0</v>
      </c>
      <c r="E2088" s="301">
        <f t="shared" si="2420"/>
        <v>0</v>
      </c>
      <c r="F2088" s="301">
        <f t="shared" si="2469"/>
        <v>0</v>
      </c>
      <c r="G2088" s="302">
        <f t="shared" si="2470"/>
        <v>0</v>
      </c>
      <c r="H2088" s="199"/>
      <c r="I2088" s="199"/>
      <c r="J2088" s="200"/>
      <c r="K2088" s="201"/>
      <c r="L2088" s="276"/>
      <c r="M2088" s="276"/>
      <c r="N2088" s="235">
        <v>85399</v>
      </c>
      <c r="O2088" s="235">
        <v>35718</v>
      </c>
      <c r="P2088" s="235">
        <v>65369</v>
      </c>
      <c r="Q2088" s="235">
        <v>1015</v>
      </c>
      <c r="R2088" s="235">
        <v>47296</v>
      </c>
      <c r="S2088" s="236">
        <v>10139.200000000001</v>
      </c>
      <c r="T2088" s="236">
        <v>1188.8</v>
      </c>
      <c r="U2088" s="236"/>
      <c r="V2088" s="235">
        <v>138747</v>
      </c>
      <c r="W2088" s="235">
        <v>49591</v>
      </c>
      <c r="X2088" s="235">
        <v>45221</v>
      </c>
      <c r="Y2088" s="235">
        <v>92778</v>
      </c>
      <c r="Z2088" s="235">
        <v>81167</v>
      </c>
      <c r="AB2088" s="279">
        <f t="shared" si="2437"/>
        <v>45304</v>
      </c>
      <c r="AC2088" s="279" t="s">
        <v>214</v>
      </c>
      <c r="AD2088" s="303">
        <f t="shared" si="2471"/>
        <v>0</v>
      </c>
      <c r="AE2088" s="303">
        <f t="shared" si="2446"/>
        <v>0</v>
      </c>
    </row>
    <row r="2089" spans="1:31" ht="18" customHeight="1" x14ac:dyDescent="0.2">
      <c r="A2089" s="279">
        <f t="shared" si="2472"/>
        <v>44940</v>
      </c>
      <c r="B2089" s="279" t="s">
        <v>215</v>
      </c>
      <c r="C2089" s="299">
        <f t="shared" si="2467"/>
        <v>0</v>
      </c>
      <c r="D2089" s="300">
        <f t="shared" si="2468"/>
        <v>0</v>
      </c>
      <c r="E2089" s="301">
        <f t="shared" si="2420"/>
        <v>0</v>
      </c>
      <c r="F2089" s="301">
        <f t="shared" si="2469"/>
        <v>0</v>
      </c>
      <c r="G2089" s="302">
        <f t="shared" si="2470"/>
        <v>0</v>
      </c>
      <c r="H2089" s="199"/>
      <c r="I2089" s="199"/>
      <c r="J2089" s="200"/>
      <c r="K2089" s="201"/>
      <c r="L2089" s="276"/>
      <c r="M2089" s="276"/>
      <c r="N2089" s="153">
        <v>85399</v>
      </c>
      <c r="O2089" s="153">
        <v>35718</v>
      </c>
      <c r="P2089" s="153">
        <v>65369</v>
      </c>
      <c r="Q2089" s="153">
        <v>1015</v>
      </c>
      <c r="R2089" s="153">
        <v>47296</v>
      </c>
      <c r="S2089" s="154">
        <v>10139.200000000001</v>
      </c>
      <c r="T2089" s="154">
        <v>1188.8</v>
      </c>
      <c r="U2089" s="154"/>
      <c r="V2089" s="153">
        <v>138747</v>
      </c>
      <c r="W2089" s="153">
        <v>49591</v>
      </c>
      <c r="X2089" s="153">
        <v>45221</v>
      </c>
      <c r="Y2089" s="153">
        <v>92778</v>
      </c>
      <c r="Z2089" s="153">
        <v>81167</v>
      </c>
      <c r="AB2089" s="279">
        <f t="shared" si="2437"/>
        <v>45305</v>
      </c>
      <c r="AC2089" s="279" t="s">
        <v>215</v>
      </c>
      <c r="AD2089" s="303">
        <f t="shared" si="2471"/>
        <v>0</v>
      </c>
      <c r="AE2089" s="303">
        <f t="shared" si="2446"/>
        <v>0</v>
      </c>
    </row>
    <row r="2090" spans="1:31" ht="18" customHeight="1" x14ac:dyDescent="0.2">
      <c r="A2090" s="279">
        <f t="shared" si="2472"/>
        <v>44941</v>
      </c>
      <c r="B2090" s="279" t="s">
        <v>216</v>
      </c>
      <c r="C2090" s="299">
        <f t="shared" si="2467"/>
        <v>2126</v>
      </c>
      <c r="D2090" s="300">
        <f t="shared" si="2468"/>
        <v>1328</v>
      </c>
      <c r="E2090" s="301">
        <f t="shared" si="2420"/>
        <v>2819.9999999998818</v>
      </c>
      <c r="F2090" s="301">
        <f t="shared" si="2469"/>
        <v>265</v>
      </c>
      <c r="G2090" s="302">
        <f t="shared" si="2470"/>
        <v>6538.9999999998818</v>
      </c>
      <c r="H2090" s="199"/>
      <c r="I2090" s="199"/>
      <c r="J2090" s="200"/>
      <c r="K2090" s="201"/>
      <c r="L2090" s="276"/>
      <c r="M2090" s="276"/>
      <c r="N2090" s="153">
        <v>85399</v>
      </c>
      <c r="O2090" s="153">
        <v>35718</v>
      </c>
      <c r="P2090" s="153">
        <v>65369</v>
      </c>
      <c r="Q2090" s="153">
        <v>1015</v>
      </c>
      <c r="R2090" s="153">
        <v>47296</v>
      </c>
      <c r="S2090" s="154">
        <v>10139.200000000001</v>
      </c>
      <c r="T2090" s="154">
        <v>1188.8</v>
      </c>
      <c r="U2090" s="154"/>
      <c r="V2090" s="153">
        <v>138747</v>
      </c>
      <c r="W2090" s="153">
        <v>49591</v>
      </c>
      <c r="X2090" s="153">
        <v>45221</v>
      </c>
      <c r="Y2090" s="153">
        <v>92778</v>
      </c>
      <c r="Z2090" s="153">
        <v>81167</v>
      </c>
      <c r="AB2090" s="279">
        <f t="shared" si="2437"/>
        <v>45306</v>
      </c>
      <c r="AC2090" s="279" t="s">
        <v>216</v>
      </c>
      <c r="AD2090" s="303">
        <f t="shared" si="2471"/>
        <v>192</v>
      </c>
      <c r="AE2090" s="303">
        <f t="shared" si="2446"/>
        <v>704</v>
      </c>
    </row>
    <row r="2091" spans="1:31" ht="18" customHeight="1" x14ac:dyDescent="0.2">
      <c r="A2091" s="279">
        <f t="shared" si="2472"/>
        <v>44942</v>
      </c>
      <c r="B2091" s="279" t="s">
        <v>210</v>
      </c>
      <c r="C2091" s="299">
        <f t="shared" ref="C2091:C2104" si="2473">(V2092-V2091)*1+(W2092-W2091)*32+(X2092-X2091)*12+(Y2092-Y2091)*6</f>
        <v>1543</v>
      </c>
      <c r="D2091" s="300">
        <f t="shared" ref="D2091:D2104" si="2474">(N2092-N2091)*8+(P2092-P2091)*8+(R2092-R2091)*1</f>
        <v>1136</v>
      </c>
      <c r="E2091" s="301">
        <f t="shared" si="2420"/>
        <v>1764.0000000000327</v>
      </c>
      <c r="F2091" s="301">
        <f t="shared" ref="F2091:F2104" si="2475">(Z2092-Z2091)*1</f>
        <v>130</v>
      </c>
      <c r="G2091" s="302">
        <f t="shared" ref="G2091:G2104" si="2476">C2091+D2091+F2091+E2091</f>
        <v>4573.0000000000327</v>
      </c>
      <c r="H2091" s="199"/>
      <c r="I2091" s="199"/>
      <c r="J2091" s="200"/>
      <c r="K2091" s="201"/>
      <c r="L2091" s="276"/>
      <c r="M2091" s="276"/>
      <c r="N2091" s="235">
        <v>85541</v>
      </c>
      <c r="O2091" s="235">
        <v>35764</v>
      </c>
      <c r="P2091" s="235">
        <v>65393</v>
      </c>
      <c r="Q2091" s="235">
        <v>1103</v>
      </c>
      <c r="R2091" s="235">
        <v>47296</v>
      </c>
      <c r="S2091" s="236">
        <v>10173.799999999999</v>
      </c>
      <c r="T2091" s="236">
        <v>1190.0999999999999</v>
      </c>
      <c r="U2091" s="236"/>
      <c r="V2091" s="235">
        <v>139113</v>
      </c>
      <c r="W2091" s="235">
        <v>49631</v>
      </c>
      <c r="X2091" s="235">
        <v>45261</v>
      </c>
      <c r="Y2091" s="235">
        <v>92778</v>
      </c>
      <c r="Z2091" s="235">
        <v>81432</v>
      </c>
      <c r="AB2091" s="279">
        <f t="shared" si="2437"/>
        <v>45307</v>
      </c>
      <c r="AC2091" s="279" t="s">
        <v>210</v>
      </c>
      <c r="AD2091" s="303">
        <f t="shared" si="2471"/>
        <v>120</v>
      </c>
      <c r="AE2091" s="303">
        <f t="shared" si="2446"/>
        <v>464</v>
      </c>
    </row>
    <row r="2092" spans="1:31" ht="18" customHeight="1" x14ac:dyDescent="0.2">
      <c r="A2092" s="279">
        <f t="shared" si="2472"/>
        <v>44943</v>
      </c>
      <c r="B2092" s="279" t="s">
        <v>211</v>
      </c>
      <c r="C2092" s="299">
        <f t="shared" si="2473"/>
        <v>1612</v>
      </c>
      <c r="D2092" s="300">
        <f t="shared" si="2474"/>
        <v>1200</v>
      </c>
      <c r="E2092" s="301">
        <f t="shared" si="2420"/>
        <v>567.99999999997453</v>
      </c>
      <c r="F2092" s="301">
        <f t="shared" si="2475"/>
        <v>137</v>
      </c>
      <c r="G2092" s="302">
        <f t="shared" si="2476"/>
        <v>3516.9999999999745</v>
      </c>
      <c r="H2092" s="199"/>
      <c r="I2092" s="199"/>
      <c r="J2092" s="200"/>
      <c r="K2092" s="201"/>
      <c r="L2092" s="276"/>
      <c r="M2092" s="276"/>
      <c r="N2092" s="235">
        <v>85668</v>
      </c>
      <c r="O2092" s="235">
        <v>35810</v>
      </c>
      <c r="P2092" s="235">
        <v>65408</v>
      </c>
      <c r="Q2092" s="235">
        <v>1161</v>
      </c>
      <c r="R2092" s="235">
        <v>47296</v>
      </c>
      <c r="S2092" s="236">
        <v>10195.4</v>
      </c>
      <c r="T2092" s="236">
        <v>1191</v>
      </c>
      <c r="U2092" s="236"/>
      <c r="V2092" s="235">
        <v>139256</v>
      </c>
      <c r="W2092" s="235">
        <v>49653</v>
      </c>
      <c r="X2092" s="235">
        <v>45319</v>
      </c>
      <c r="Y2092" s="235">
        <v>92778</v>
      </c>
      <c r="Z2092" s="235">
        <v>81562</v>
      </c>
      <c r="AB2092" s="279">
        <f t="shared" si="2437"/>
        <v>45308</v>
      </c>
      <c r="AC2092" s="279" t="s">
        <v>211</v>
      </c>
      <c r="AD2092" s="303">
        <f t="shared" si="2471"/>
        <v>120</v>
      </c>
      <c r="AE2092" s="303">
        <f t="shared" si="2446"/>
        <v>480</v>
      </c>
    </row>
    <row r="2093" spans="1:31" ht="18" customHeight="1" x14ac:dyDescent="0.2">
      <c r="A2093" s="279">
        <f t="shared" si="2472"/>
        <v>44944</v>
      </c>
      <c r="B2093" s="279" t="s">
        <v>212</v>
      </c>
      <c r="C2093" s="299">
        <f t="shared" si="2473"/>
        <v>1209</v>
      </c>
      <c r="D2093" s="300">
        <f t="shared" si="2474"/>
        <v>1176</v>
      </c>
      <c r="E2093" s="301">
        <f t="shared" si="2420"/>
        <v>216.00000000008549</v>
      </c>
      <c r="F2093" s="301">
        <f t="shared" si="2475"/>
        <v>144</v>
      </c>
      <c r="G2093" s="302">
        <f t="shared" si="2476"/>
        <v>2745.0000000000855</v>
      </c>
      <c r="H2093" s="199"/>
      <c r="I2093" s="199"/>
      <c r="J2093" s="200"/>
      <c r="K2093" s="201"/>
      <c r="L2093" s="276"/>
      <c r="M2093" s="276"/>
      <c r="N2093" s="235">
        <v>85803</v>
      </c>
      <c r="O2093" s="235">
        <v>35861</v>
      </c>
      <c r="P2093" s="235">
        <v>65423</v>
      </c>
      <c r="Q2093" s="235">
        <v>1221</v>
      </c>
      <c r="R2093" s="235">
        <v>47296</v>
      </c>
      <c r="S2093" s="236">
        <v>10201.799999999999</v>
      </c>
      <c r="T2093" s="236">
        <v>1192.4000000000001</v>
      </c>
      <c r="U2093" s="236"/>
      <c r="V2093" s="235">
        <v>139404</v>
      </c>
      <c r="W2093" s="235">
        <v>49674</v>
      </c>
      <c r="X2093" s="235">
        <v>45385</v>
      </c>
      <c r="Y2093" s="235">
        <v>92778</v>
      </c>
      <c r="Z2093" s="235">
        <v>81699</v>
      </c>
      <c r="AB2093" s="279">
        <f t="shared" si="2437"/>
        <v>45309</v>
      </c>
      <c r="AC2093" s="279" t="s">
        <v>212</v>
      </c>
      <c r="AD2093" s="303">
        <f t="shared" si="2471"/>
        <v>112</v>
      </c>
      <c r="AE2093" s="303">
        <f t="shared" si="2446"/>
        <v>472</v>
      </c>
    </row>
    <row r="2094" spans="1:31" ht="18" customHeight="1" x14ac:dyDescent="0.2">
      <c r="A2094" s="279">
        <f t="shared" si="2472"/>
        <v>44945</v>
      </c>
      <c r="B2094" s="279" t="s">
        <v>213</v>
      </c>
      <c r="C2094" s="299">
        <f t="shared" si="2473"/>
        <v>0</v>
      </c>
      <c r="D2094" s="300">
        <f t="shared" si="2474"/>
        <v>0</v>
      </c>
      <c r="E2094" s="301">
        <f t="shared" si="2420"/>
        <v>0</v>
      </c>
      <c r="F2094" s="301">
        <f t="shared" si="2475"/>
        <v>0</v>
      </c>
      <c r="G2094" s="302">
        <f t="shared" si="2476"/>
        <v>0</v>
      </c>
      <c r="H2094" s="199"/>
      <c r="I2094" s="199"/>
      <c r="J2094" s="200"/>
      <c r="K2094" s="201"/>
      <c r="L2094" s="276"/>
      <c r="M2094" s="276"/>
      <c r="N2094" s="235">
        <v>85936</v>
      </c>
      <c r="O2094" s="235">
        <v>35911</v>
      </c>
      <c r="P2094" s="235">
        <v>65437</v>
      </c>
      <c r="Q2094" s="235">
        <v>1280</v>
      </c>
      <c r="R2094" s="235">
        <v>47296</v>
      </c>
      <c r="S2094" s="236">
        <v>10202.6</v>
      </c>
      <c r="T2094" s="236">
        <v>1196.2</v>
      </c>
      <c r="U2094" s="236"/>
      <c r="V2094" s="235">
        <v>139549</v>
      </c>
      <c r="W2094" s="235">
        <v>49696</v>
      </c>
      <c r="X2094" s="235">
        <v>45415</v>
      </c>
      <c r="Y2094" s="235">
        <v>92778</v>
      </c>
      <c r="Z2094" s="235">
        <v>81843</v>
      </c>
      <c r="AB2094" s="279">
        <f t="shared" si="2437"/>
        <v>45310</v>
      </c>
      <c r="AC2094" s="279" t="s">
        <v>213</v>
      </c>
      <c r="AD2094" s="303">
        <f t="shared" si="2471"/>
        <v>0</v>
      </c>
      <c r="AE2094" s="303">
        <f t="shared" si="2446"/>
        <v>0</v>
      </c>
    </row>
    <row r="2095" spans="1:31" ht="18" customHeight="1" x14ac:dyDescent="0.2">
      <c r="A2095" s="279">
        <f t="shared" si="2472"/>
        <v>44946</v>
      </c>
      <c r="B2095" s="279" t="s">
        <v>214</v>
      </c>
      <c r="C2095" s="299">
        <f t="shared" si="2473"/>
        <v>0</v>
      </c>
      <c r="D2095" s="300">
        <f t="shared" si="2474"/>
        <v>0</v>
      </c>
      <c r="E2095" s="301">
        <f t="shared" ref="E2095:E2109" si="2477">(S2096-S2095)*80+(T2096-T2095)*40</f>
        <v>0</v>
      </c>
      <c r="F2095" s="301">
        <f t="shared" si="2475"/>
        <v>0</v>
      </c>
      <c r="G2095" s="302">
        <f t="shared" si="2476"/>
        <v>0</v>
      </c>
      <c r="H2095" s="199"/>
      <c r="I2095" s="199"/>
      <c r="J2095" s="200"/>
      <c r="K2095" s="201"/>
      <c r="L2095" s="276"/>
      <c r="M2095" s="276"/>
      <c r="N2095" s="153">
        <v>85936</v>
      </c>
      <c r="O2095" s="153">
        <v>35911</v>
      </c>
      <c r="P2095" s="153">
        <v>65437</v>
      </c>
      <c r="Q2095" s="153">
        <v>1280</v>
      </c>
      <c r="R2095" s="153">
        <v>47296</v>
      </c>
      <c r="S2095" s="154">
        <v>10202.6</v>
      </c>
      <c r="T2095" s="154">
        <v>1196.2</v>
      </c>
      <c r="U2095" s="154"/>
      <c r="V2095" s="153">
        <v>139549</v>
      </c>
      <c r="W2095" s="153">
        <v>49696</v>
      </c>
      <c r="X2095" s="153">
        <v>45415</v>
      </c>
      <c r="Y2095" s="153">
        <v>92778</v>
      </c>
      <c r="Z2095" s="153">
        <v>81843</v>
      </c>
      <c r="AB2095" s="279">
        <f t="shared" si="2437"/>
        <v>45311</v>
      </c>
      <c r="AC2095" s="279" t="s">
        <v>214</v>
      </c>
      <c r="AD2095" s="303">
        <f t="shared" si="2471"/>
        <v>0</v>
      </c>
      <c r="AE2095" s="303">
        <f t="shared" si="2446"/>
        <v>0</v>
      </c>
    </row>
    <row r="2096" spans="1:31" ht="18" customHeight="1" x14ac:dyDescent="0.2">
      <c r="A2096" s="279">
        <f t="shared" si="2472"/>
        <v>44947</v>
      </c>
      <c r="B2096" s="279" t="s">
        <v>215</v>
      </c>
      <c r="C2096" s="299">
        <f t="shared" si="2473"/>
        <v>0</v>
      </c>
      <c r="D2096" s="300">
        <f t="shared" si="2474"/>
        <v>0</v>
      </c>
      <c r="E2096" s="301">
        <f t="shared" si="2477"/>
        <v>0</v>
      </c>
      <c r="F2096" s="301">
        <f t="shared" si="2475"/>
        <v>0</v>
      </c>
      <c r="G2096" s="302">
        <f t="shared" si="2476"/>
        <v>0</v>
      </c>
      <c r="H2096" s="199"/>
      <c r="I2096" s="199"/>
      <c r="J2096" s="200"/>
      <c r="K2096" s="201"/>
      <c r="L2096" s="276"/>
      <c r="M2096" s="276"/>
      <c r="N2096" s="153">
        <v>85936</v>
      </c>
      <c r="O2096" s="153">
        <v>35911</v>
      </c>
      <c r="P2096" s="153">
        <v>65437</v>
      </c>
      <c r="Q2096" s="153">
        <v>1280</v>
      </c>
      <c r="R2096" s="153">
        <v>47296</v>
      </c>
      <c r="S2096" s="154">
        <v>10202.6</v>
      </c>
      <c r="T2096" s="154">
        <v>1196.2</v>
      </c>
      <c r="U2096" s="154"/>
      <c r="V2096" s="153">
        <v>139549</v>
      </c>
      <c r="W2096" s="153">
        <v>49696</v>
      </c>
      <c r="X2096" s="153">
        <v>45415</v>
      </c>
      <c r="Y2096" s="153">
        <v>92778</v>
      </c>
      <c r="Z2096" s="153">
        <v>81843</v>
      </c>
      <c r="AB2096" s="279">
        <f t="shared" si="2437"/>
        <v>45312</v>
      </c>
      <c r="AC2096" s="279" t="s">
        <v>215</v>
      </c>
      <c r="AD2096" s="303">
        <f t="shared" si="2471"/>
        <v>0</v>
      </c>
      <c r="AE2096" s="303">
        <f t="shared" si="2446"/>
        <v>0</v>
      </c>
    </row>
    <row r="2097" spans="1:31" ht="18" customHeight="1" x14ac:dyDescent="0.2">
      <c r="A2097" s="279">
        <f t="shared" si="2472"/>
        <v>44948</v>
      </c>
      <c r="B2097" s="279" t="s">
        <v>216</v>
      </c>
      <c r="C2097" s="299">
        <f t="shared" si="2473"/>
        <v>0</v>
      </c>
      <c r="D2097" s="300">
        <f t="shared" si="2474"/>
        <v>0</v>
      </c>
      <c r="E2097" s="301">
        <f t="shared" si="2477"/>
        <v>0</v>
      </c>
      <c r="F2097" s="301">
        <f t="shared" si="2475"/>
        <v>0</v>
      </c>
      <c r="G2097" s="302">
        <f t="shared" si="2476"/>
        <v>0</v>
      </c>
      <c r="H2097" s="199"/>
      <c r="I2097" s="199"/>
      <c r="J2097" s="200"/>
      <c r="K2097" s="201"/>
      <c r="L2097" s="276"/>
      <c r="M2097" s="276"/>
      <c r="N2097" s="153">
        <v>85936</v>
      </c>
      <c r="O2097" s="153">
        <v>35911</v>
      </c>
      <c r="P2097" s="153">
        <v>65437</v>
      </c>
      <c r="Q2097" s="153">
        <v>1280</v>
      </c>
      <c r="R2097" s="153">
        <v>47296</v>
      </c>
      <c r="S2097" s="154">
        <v>10202.6</v>
      </c>
      <c r="T2097" s="154">
        <v>1196.2</v>
      </c>
      <c r="U2097" s="154"/>
      <c r="V2097" s="153">
        <v>139549</v>
      </c>
      <c r="W2097" s="153">
        <v>49696</v>
      </c>
      <c r="X2097" s="153">
        <v>45415</v>
      </c>
      <c r="Y2097" s="153">
        <v>92778</v>
      </c>
      <c r="Z2097" s="153">
        <v>81843</v>
      </c>
      <c r="AB2097" s="279">
        <f t="shared" si="2437"/>
        <v>45313</v>
      </c>
      <c r="AC2097" s="279" t="s">
        <v>216</v>
      </c>
      <c r="AD2097" s="303">
        <f t="shared" si="2471"/>
        <v>0</v>
      </c>
      <c r="AE2097" s="303">
        <f t="shared" si="2446"/>
        <v>0</v>
      </c>
    </row>
    <row r="2098" spans="1:31" ht="18" customHeight="1" x14ac:dyDescent="0.2">
      <c r="A2098" s="279">
        <f t="shared" si="2472"/>
        <v>44949</v>
      </c>
      <c r="B2098" s="280" t="s">
        <v>191</v>
      </c>
      <c r="C2098" s="299">
        <f t="shared" si="2473"/>
        <v>0</v>
      </c>
      <c r="D2098" s="300">
        <f t="shared" si="2474"/>
        <v>0</v>
      </c>
      <c r="E2098" s="301">
        <f t="shared" si="2477"/>
        <v>0</v>
      </c>
      <c r="F2098" s="301">
        <f t="shared" si="2475"/>
        <v>0</v>
      </c>
      <c r="G2098" s="302">
        <f t="shared" si="2476"/>
        <v>0</v>
      </c>
      <c r="H2098" s="199"/>
      <c r="I2098" s="199"/>
      <c r="J2098" s="200"/>
      <c r="K2098" s="201"/>
      <c r="L2098" s="276"/>
      <c r="M2098" s="276"/>
      <c r="N2098" s="153">
        <v>85936</v>
      </c>
      <c r="O2098" s="153">
        <v>35911</v>
      </c>
      <c r="P2098" s="153">
        <v>65437</v>
      </c>
      <c r="Q2098" s="153">
        <v>1280</v>
      </c>
      <c r="R2098" s="153">
        <v>47296</v>
      </c>
      <c r="S2098" s="154">
        <v>10202.6</v>
      </c>
      <c r="T2098" s="154">
        <v>1196.2</v>
      </c>
      <c r="U2098" s="154"/>
      <c r="V2098" s="153">
        <v>139549</v>
      </c>
      <c r="W2098" s="153">
        <v>49696</v>
      </c>
      <c r="X2098" s="153">
        <v>45415</v>
      </c>
      <c r="Y2098" s="153">
        <v>92778</v>
      </c>
      <c r="Z2098" s="153">
        <v>81843</v>
      </c>
      <c r="AB2098" s="279">
        <f t="shared" si="2437"/>
        <v>45314</v>
      </c>
      <c r="AC2098" s="279" t="s">
        <v>210</v>
      </c>
      <c r="AD2098" s="303">
        <f t="shared" si="2471"/>
        <v>0</v>
      </c>
      <c r="AE2098" s="303">
        <f t="shared" si="2446"/>
        <v>0</v>
      </c>
    </row>
    <row r="2099" spans="1:31" ht="18" customHeight="1" x14ac:dyDescent="0.2">
      <c r="A2099" s="279">
        <f t="shared" si="2472"/>
        <v>44950</v>
      </c>
      <c r="B2099" s="280" t="s">
        <v>192</v>
      </c>
      <c r="C2099" s="299">
        <f t="shared" si="2473"/>
        <v>0</v>
      </c>
      <c r="D2099" s="300">
        <f t="shared" si="2474"/>
        <v>0</v>
      </c>
      <c r="E2099" s="301">
        <f t="shared" si="2477"/>
        <v>0</v>
      </c>
      <c r="F2099" s="301">
        <f t="shared" si="2475"/>
        <v>0</v>
      </c>
      <c r="G2099" s="302">
        <f t="shared" si="2476"/>
        <v>0</v>
      </c>
      <c r="H2099" s="199"/>
      <c r="I2099" s="199"/>
      <c r="J2099" s="200"/>
      <c r="K2099" s="201"/>
      <c r="L2099" s="276"/>
      <c r="M2099" s="276"/>
      <c r="N2099" s="153">
        <v>85936</v>
      </c>
      <c r="O2099" s="153">
        <v>35911</v>
      </c>
      <c r="P2099" s="153">
        <v>65437</v>
      </c>
      <c r="Q2099" s="153">
        <v>1280</v>
      </c>
      <c r="R2099" s="153">
        <v>47296</v>
      </c>
      <c r="S2099" s="154">
        <v>10202.6</v>
      </c>
      <c r="T2099" s="154">
        <v>1196.2</v>
      </c>
      <c r="U2099" s="154"/>
      <c r="V2099" s="153">
        <v>139549</v>
      </c>
      <c r="W2099" s="153">
        <v>49696</v>
      </c>
      <c r="X2099" s="153">
        <v>45415</v>
      </c>
      <c r="Y2099" s="153">
        <v>92778</v>
      </c>
      <c r="Z2099" s="153">
        <v>81843</v>
      </c>
      <c r="AB2099" s="279">
        <f t="shared" si="2437"/>
        <v>45315</v>
      </c>
      <c r="AC2099" s="279" t="s">
        <v>211</v>
      </c>
      <c r="AD2099" s="303">
        <f t="shared" si="2471"/>
        <v>0</v>
      </c>
      <c r="AE2099" s="303">
        <f t="shared" si="2446"/>
        <v>0</v>
      </c>
    </row>
    <row r="2100" spans="1:31" ht="18" customHeight="1" x14ac:dyDescent="0.2">
      <c r="A2100" s="279">
        <f t="shared" si="2472"/>
        <v>44951</v>
      </c>
      <c r="B2100" s="280" t="s">
        <v>193</v>
      </c>
      <c r="C2100" s="299">
        <f t="shared" si="2473"/>
        <v>0</v>
      </c>
      <c r="D2100" s="300">
        <f t="shared" si="2474"/>
        <v>0</v>
      </c>
      <c r="E2100" s="301">
        <f t="shared" si="2477"/>
        <v>0</v>
      </c>
      <c r="F2100" s="301">
        <f t="shared" si="2475"/>
        <v>0</v>
      </c>
      <c r="G2100" s="302">
        <f t="shared" si="2476"/>
        <v>0</v>
      </c>
      <c r="H2100" s="199"/>
      <c r="I2100" s="199"/>
      <c r="J2100" s="200"/>
      <c r="K2100" s="201"/>
      <c r="L2100" s="276"/>
      <c r="M2100" s="276"/>
      <c r="N2100" s="153">
        <v>85936</v>
      </c>
      <c r="O2100" s="153">
        <v>35911</v>
      </c>
      <c r="P2100" s="153">
        <v>65437</v>
      </c>
      <c r="Q2100" s="153">
        <v>1280</v>
      </c>
      <c r="R2100" s="153">
        <v>47296</v>
      </c>
      <c r="S2100" s="154">
        <v>10202.6</v>
      </c>
      <c r="T2100" s="154">
        <v>1196.2</v>
      </c>
      <c r="U2100" s="154"/>
      <c r="V2100" s="153">
        <v>139549</v>
      </c>
      <c r="W2100" s="153">
        <v>49696</v>
      </c>
      <c r="X2100" s="153">
        <v>45415</v>
      </c>
      <c r="Y2100" s="153">
        <v>92778</v>
      </c>
      <c r="Z2100" s="153">
        <v>81843</v>
      </c>
      <c r="AB2100" s="279">
        <f t="shared" si="2437"/>
        <v>45316</v>
      </c>
      <c r="AC2100" s="279" t="s">
        <v>212</v>
      </c>
      <c r="AD2100" s="303">
        <f t="shared" si="2471"/>
        <v>0</v>
      </c>
      <c r="AE2100" s="303">
        <f t="shared" si="2446"/>
        <v>0</v>
      </c>
    </row>
    <row r="2101" spans="1:31" ht="18" customHeight="1" x14ac:dyDescent="0.2">
      <c r="A2101" s="279">
        <f t="shared" si="2472"/>
        <v>44952</v>
      </c>
      <c r="B2101" s="280" t="s">
        <v>194</v>
      </c>
      <c r="C2101" s="299">
        <f t="shared" si="2473"/>
        <v>0</v>
      </c>
      <c r="D2101" s="300">
        <f t="shared" si="2474"/>
        <v>0</v>
      </c>
      <c r="E2101" s="301">
        <f t="shared" si="2477"/>
        <v>0</v>
      </c>
      <c r="F2101" s="301">
        <f t="shared" si="2475"/>
        <v>0</v>
      </c>
      <c r="G2101" s="302">
        <f t="shared" si="2476"/>
        <v>0</v>
      </c>
      <c r="H2101" s="199"/>
      <c r="I2101" s="199"/>
      <c r="J2101" s="200"/>
      <c r="K2101" s="201"/>
      <c r="L2101" s="276"/>
      <c r="M2101" s="276"/>
      <c r="N2101" s="153">
        <v>85936</v>
      </c>
      <c r="O2101" s="153">
        <v>35911</v>
      </c>
      <c r="P2101" s="153">
        <v>65437</v>
      </c>
      <c r="Q2101" s="153">
        <v>1280</v>
      </c>
      <c r="R2101" s="153">
        <v>47296</v>
      </c>
      <c r="S2101" s="154">
        <v>10202.6</v>
      </c>
      <c r="T2101" s="154">
        <v>1196.2</v>
      </c>
      <c r="U2101" s="154"/>
      <c r="V2101" s="153">
        <v>139549</v>
      </c>
      <c r="W2101" s="153">
        <v>49696</v>
      </c>
      <c r="X2101" s="153">
        <v>45415</v>
      </c>
      <c r="Y2101" s="153">
        <v>92778</v>
      </c>
      <c r="Z2101" s="153">
        <v>81843</v>
      </c>
      <c r="AB2101" s="279">
        <f t="shared" si="2437"/>
        <v>45317</v>
      </c>
      <c r="AC2101" s="279" t="s">
        <v>213</v>
      </c>
      <c r="AD2101" s="303">
        <f t="shared" si="2471"/>
        <v>0</v>
      </c>
      <c r="AE2101" s="303">
        <f t="shared" si="2446"/>
        <v>0</v>
      </c>
    </row>
    <row r="2102" spans="1:31" ht="18" customHeight="1" x14ac:dyDescent="0.2">
      <c r="A2102" s="279">
        <f t="shared" si="2472"/>
        <v>44953</v>
      </c>
      <c r="B2102" s="278" t="s">
        <v>189</v>
      </c>
      <c r="C2102" s="299">
        <f t="shared" si="2473"/>
        <v>0</v>
      </c>
      <c r="D2102" s="300">
        <f t="shared" si="2474"/>
        <v>0</v>
      </c>
      <c r="E2102" s="301">
        <f t="shared" si="2477"/>
        <v>0</v>
      </c>
      <c r="F2102" s="301">
        <f t="shared" si="2475"/>
        <v>0</v>
      </c>
      <c r="G2102" s="302">
        <f t="shared" si="2476"/>
        <v>0</v>
      </c>
      <c r="H2102" s="199"/>
      <c r="I2102" s="199"/>
      <c r="J2102" s="200"/>
      <c r="K2102" s="201"/>
      <c r="L2102" s="276"/>
      <c r="M2102" s="276"/>
      <c r="N2102" s="153">
        <v>85936</v>
      </c>
      <c r="O2102" s="153">
        <v>35911</v>
      </c>
      <c r="P2102" s="153">
        <v>65437</v>
      </c>
      <c r="Q2102" s="153">
        <v>1280</v>
      </c>
      <c r="R2102" s="153">
        <v>47296</v>
      </c>
      <c r="S2102" s="154">
        <v>10202.6</v>
      </c>
      <c r="T2102" s="154">
        <v>1196.2</v>
      </c>
      <c r="U2102" s="154"/>
      <c r="V2102" s="153">
        <v>139549</v>
      </c>
      <c r="W2102" s="153">
        <v>49696</v>
      </c>
      <c r="X2102" s="153">
        <v>45415</v>
      </c>
      <c r="Y2102" s="153">
        <v>92778</v>
      </c>
      <c r="Z2102" s="153">
        <v>81843</v>
      </c>
      <c r="AB2102" s="279">
        <f t="shared" si="2437"/>
        <v>45318</v>
      </c>
      <c r="AC2102" s="279" t="s">
        <v>214</v>
      </c>
      <c r="AD2102" s="303">
        <f t="shared" si="2471"/>
        <v>0</v>
      </c>
      <c r="AE2102" s="303">
        <f t="shared" si="2446"/>
        <v>0</v>
      </c>
    </row>
    <row r="2103" spans="1:31" ht="18" customHeight="1" x14ac:dyDescent="0.2">
      <c r="A2103" s="279">
        <f t="shared" si="2472"/>
        <v>44954</v>
      </c>
      <c r="B2103" s="279" t="s">
        <v>195</v>
      </c>
      <c r="C2103" s="299">
        <f t="shared" si="2473"/>
        <v>0</v>
      </c>
      <c r="D2103" s="300">
        <f t="shared" si="2474"/>
        <v>0</v>
      </c>
      <c r="E2103" s="301">
        <f t="shared" si="2477"/>
        <v>0</v>
      </c>
      <c r="F2103" s="301">
        <f t="shared" si="2475"/>
        <v>0</v>
      </c>
      <c r="G2103" s="302">
        <f t="shared" si="2476"/>
        <v>0</v>
      </c>
      <c r="H2103" s="199"/>
      <c r="I2103" s="199"/>
      <c r="J2103" s="200"/>
      <c r="K2103" s="201"/>
      <c r="L2103" s="276"/>
      <c r="M2103" s="276"/>
      <c r="N2103" s="153">
        <v>85936</v>
      </c>
      <c r="O2103" s="153">
        <v>35911</v>
      </c>
      <c r="P2103" s="153">
        <v>65437</v>
      </c>
      <c r="Q2103" s="153">
        <v>1280</v>
      </c>
      <c r="R2103" s="153">
        <v>47296</v>
      </c>
      <c r="S2103" s="154">
        <v>10202.6</v>
      </c>
      <c r="T2103" s="154">
        <v>1196.2</v>
      </c>
      <c r="U2103" s="154"/>
      <c r="V2103" s="153">
        <v>139549</v>
      </c>
      <c r="W2103" s="153">
        <v>49696</v>
      </c>
      <c r="X2103" s="153">
        <v>45415</v>
      </c>
      <c r="Y2103" s="153">
        <v>92778</v>
      </c>
      <c r="Z2103" s="153">
        <v>81843</v>
      </c>
      <c r="AB2103" s="279">
        <f t="shared" si="2437"/>
        <v>45319</v>
      </c>
      <c r="AC2103" s="279" t="s">
        <v>215</v>
      </c>
      <c r="AD2103" s="303">
        <f t="shared" si="2471"/>
        <v>0</v>
      </c>
      <c r="AE2103" s="303">
        <f t="shared" si="2446"/>
        <v>0</v>
      </c>
    </row>
    <row r="2104" spans="1:31" ht="18" customHeight="1" x14ac:dyDescent="0.2">
      <c r="A2104" s="279">
        <f t="shared" si="2472"/>
        <v>44955</v>
      </c>
      <c r="B2104" s="278" t="s">
        <v>190</v>
      </c>
      <c r="C2104" s="299">
        <f t="shared" si="2473"/>
        <v>3533</v>
      </c>
      <c r="D2104" s="300">
        <f t="shared" si="2474"/>
        <v>2480</v>
      </c>
      <c r="E2104" s="301">
        <f t="shared" si="2477"/>
        <v>1871.9999999999436</v>
      </c>
      <c r="F2104" s="301">
        <f t="shared" si="2475"/>
        <v>1469</v>
      </c>
      <c r="G2104" s="302">
        <f t="shared" si="2476"/>
        <v>9353.9999999999436</v>
      </c>
      <c r="H2104" s="199"/>
      <c r="I2104" s="199"/>
      <c r="J2104" s="200"/>
      <c r="K2104" s="201"/>
      <c r="L2104" s="276"/>
      <c r="M2104" s="276"/>
      <c r="N2104" s="153">
        <v>85936</v>
      </c>
      <c r="O2104" s="153">
        <v>35911</v>
      </c>
      <c r="P2104" s="153">
        <v>65437</v>
      </c>
      <c r="Q2104" s="153">
        <v>1280</v>
      </c>
      <c r="R2104" s="153">
        <v>47296</v>
      </c>
      <c r="S2104" s="154">
        <v>10202.6</v>
      </c>
      <c r="T2104" s="154">
        <v>1196.2</v>
      </c>
      <c r="U2104" s="154"/>
      <c r="V2104" s="153">
        <v>139549</v>
      </c>
      <c r="W2104" s="153">
        <v>49696</v>
      </c>
      <c r="X2104" s="153">
        <v>45415</v>
      </c>
      <c r="Y2104" s="153">
        <v>92778</v>
      </c>
      <c r="Z2104" s="153">
        <v>81843</v>
      </c>
      <c r="AB2104" s="279">
        <f t="shared" si="2437"/>
        <v>45320</v>
      </c>
      <c r="AC2104" s="279" t="s">
        <v>216</v>
      </c>
      <c r="AD2104" s="303">
        <f t="shared" si="2471"/>
        <v>296</v>
      </c>
      <c r="AE2104" s="303">
        <f t="shared" si="2446"/>
        <v>1200</v>
      </c>
    </row>
    <row r="2105" spans="1:31" ht="18" customHeight="1" x14ac:dyDescent="0.2">
      <c r="A2105" s="279">
        <f t="shared" si="2472"/>
        <v>44956</v>
      </c>
      <c r="B2105" s="280" t="s">
        <v>191</v>
      </c>
      <c r="C2105" s="299">
        <f t="shared" ref="C2105:C2109" si="2478">(V2106-V2105)*1+(W2106-W2105)*32+(X2106-X2105)*12+(Y2106-Y2105)*6</f>
        <v>1756</v>
      </c>
      <c r="D2105" s="300">
        <f t="shared" ref="D2105:D2109" si="2479">(N2106-N2105)*8+(P2106-P2105)*8+(R2106-R2105)*1</f>
        <v>1176</v>
      </c>
      <c r="E2105" s="301">
        <f t="shared" si="2477"/>
        <v>1540</v>
      </c>
      <c r="F2105" s="301">
        <f t="shared" ref="F2105:F2109" si="2480">(Z2106-Z2105)*1</f>
        <v>161</v>
      </c>
      <c r="G2105" s="302">
        <f t="shared" ref="G2105:G2109" si="2481">C2105+D2105+F2105+E2105</f>
        <v>4633</v>
      </c>
      <c r="H2105" s="199"/>
      <c r="I2105" s="199"/>
      <c r="J2105" s="200"/>
      <c r="K2105" s="201"/>
      <c r="L2105" s="276"/>
      <c r="M2105" s="276"/>
      <c r="N2105" s="235">
        <v>86209</v>
      </c>
      <c r="O2105" s="235">
        <v>36005</v>
      </c>
      <c r="P2105" s="235">
        <v>65474</v>
      </c>
      <c r="Q2105" s="235">
        <v>1430</v>
      </c>
      <c r="R2105" s="235">
        <v>47296</v>
      </c>
      <c r="S2105" s="236">
        <v>10224.9</v>
      </c>
      <c r="T2105" s="236">
        <v>1198.4000000000001</v>
      </c>
      <c r="U2105" s="236"/>
      <c r="V2105" s="235">
        <v>140150</v>
      </c>
      <c r="W2105" s="235">
        <v>49779</v>
      </c>
      <c r="X2105" s="235">
        <v>45438</v>
      </c>
      <c r="Y2105" s="235">
        <v>92778</v>
      </c>
      <c r="Z2105" s="235">
        <v>83312</v>
      </c>
      <c r="AB2105" s="279">
        <f t="shared" si="2437"/>
        <v>45321</v>
      </c>
      <c r="AC2105" s="279" t="s">
        <v>210</v>
      </c>
      <c r="AD2105" s="303">
        <f t="shared" ref="AD2105:AD2109" si="2482">(P2106-P2105)*8</f>
        <v>104</v>
      </c>
      <c r="AE2105" s="303">
        <f t="shared" ref="AE2105:AE2109" si="2483">(Q2106-Q2105)*8</f>
        <v>392</v>
      </c>
    </row>
    <row r="2106" spans="1:31" ht="18" customHeight="1" x14ac:dyDescent="0.2">
      <c r="A2106" s="279">
        <f t="shared" si="2472"/>
        <v>44957</v>
      </c>
      <c r="B2106" s="280" t="s">
        <v>192</v>
      </c>
      <c r="C2106" s="299">
        <f t="shared" si="2478"/>
        <v>1800</v>
      </c>
      <c r="D2106" s="300">
        <f t="shared" si="2479"/>
        <v>1184</v>
      </c>
      <c r="E2106" s="301">
        <f t="shared" si="2477"/>
        <v>1440.0000000000819</v>
      </c>
      <c r="F2106" s="301">
        <f t="shared" si="2480"/>
        <v>145</v>
      </c>
      <c r="G2106" s="302">
        <f t="shared" si="2481"/>
        <v>4569.0000000000819</v>
      </c>
      <c r="H2106" s="199"/>
      <c r="I2106" s="199"/>
      <c r="J2106" s="200"/>
      <c r="K2106" s="201"/>
      <c r="L2106" s="276"/>
      <c r="M2106" s="276"/>
      <c r="N2106" s="235">
        <v>86343</v>
      </c>
      <c r="O2106" s="235">
        <v>36057</v>
      </c>
      <c r="P2106" s="235">
        <v>65487</v>
      </c>
      <c r="Q2106" s="235">
        <v>1479</v>
      </c>
      <c r="R2106" s="235">
        <v>47296</v>
      </c>
      <c r="S2106" s="236">
        <v>10243.9</v>
      </c>
      <c r="T2106" s="236">
        <v>1198.9000000000001</v>
      </c>
      <c r="U2106" s="236"/>
      <c r="V2106" s="235">
        <v>140302</v>
      </c>
      <c r="W2106" s="235">
        <v>49804</v>
      </c>
      <c r="X2106" s="235">
        <v>45505</v>
      </c>
      <c r="Y2106" s="235">
        <v>92778</v>
      </c>
      <c r="Z2106" s="235">
        <v>83473</v>
      </c>
      <c r="AB2106" s="279">
        <f t="shared" si="2437"/>
        <v>45322</v>
      </c>
      <c r="AC2106" s="279" t="s">
        <v>211</v>
      </c>
      <c r="AD2106" s="303">
        <f t="shared" si="2482"/>
        <v>96</v>
      </c>
      <c r="AE2106" s="303">
        <f t="shared" si="2483"/>
        <v>384</v>
      </c>
    </row>
    <row r="2107" spans="1:31" ht="18" customHeight="1" x14ac:dyDescent="0.2">
      <c r="A2107" s="279">
        <f t="shared" si="2472"/>
        <v>44958</v>
      </c>
      <c r="B2107" s="280" t="s">
        <v>193</v>
      </c>
      <c r="C2107" s="299">
        <f t="shared" si="2478"/>
        <v>1691</v>
      </c>
      <c r="D2107" s="300">
        <f t="shared" si="2479"/>
        <v>1152</v>
      </c>
      <c r="E2107" s="301">
        <f t="shared" si="2477"/>
        <v>1387.9999999998836</v>
      </c>
      <c r="F2107" s="301">
        <f t="shared" si="2480"/>
        <v>125</v>
      </c>
      <c r="G2107" s="302">
        <f t="shared" si="2481"/>
        <v>4355.9999999998836</v>
      </c>
      <c r="H2107" s="199"/>
      <c r="I2107" s="199"/>
      <c r="J2107" s="200"/>
      <c r="K2107" s="201"/>
      <c r="L2107" s="276"/>
      <c r="M2107" s="276"/>
      <c r="N2107" s="235">
        <v>86479</v>
      </c>
      <c r="O2107" s="235">
        <v>36107</v>
      </c>
      <c r="P2107" s="235">
        <v>65499</v>
      </c>
      <c r="Q2107" s="235">
        <v>1527</v>
      </c>
      <c r="R2107" s="235">
        <v>47296</v>
      </c>
      <c r="S2107" s="236">
        <v>10261.700000000001</v>
      </c>
      <c r="T2107" s="236">
        <v>1199.3</v>
      </c>
      <c r="U2107" s="236"/>
      <c r="V2107" s="235">
        <v>140450</v>
      </c>
      <c r="W2107" s="235">
        <v>49829</v>
      </c>
      <c r="X2107" s="235">
        <v>45576</v>
      </c>
      <c r="Y2107" s="235">
        <v>92778</v>
      </c>
      <c r="Z2107" s="235">
        <v>83618</v>
      </c>
      <c r="AB2107" s="279">
        <f t="shared" si="2437"/>
        <v>45323</v>
      </c>
      <c r="AC2107" s="279" t="s">
        <v>212</v>
      </c>
      <c r="AD2107" s="303">
        <f t="shared" si="2482"/>
        <v>96</v>
      </c>
      <c r="AE2107" s="303">
        <f t="shared" si="2483"/>
        <v>360</v>
      </c>
    </row>
    <row r="2108" spans="1:31" ht="18" customHeight="1" x14ac:dyDescent="0.2">
      <c r="A2108" s="279">
        <f t="shared" si="2472"/>
        <v>44959</v>
      </c>
      <c r="B2108" s="280" t="s">
        <v>194</v>
      </c>
      <c r="C2108" s="299">
        <f t="shared" si="2478"/>
        <v>1532</v>
      </c>
      <c r="D2108" s="300">
        <f t="shared" si="2479"/>
        <v>1112</v>
      </c>
      <c r="E2108" s="301">
        <f t="shared" si="2477"/>
        <v>1376.0000000000036</v>
      </c>
      <c r="F2108" s="301">
        <f t="shared" si="2480"/>
        <v>124</v>
      </c>
      <c r="G2108" s="302">
        <f t="shared" si="2481"/>
        <v>4144.0000000000036</v>
      </c>
      <c r="H2108" s="199"/>
      <c r="I2108" s="199"/>
      <c r="J2108" s="200"/>
      <c r="K2108" s="201"/>
      <c r="L2108" s="276"/>
      <c r="M2108" s="276"/>
      <c r="N2108" s="235">
        <v>86611</v>
      </c>
      <c r="O2108" s="235">
        <v>36156</v>
      </c>
      <c r="P2108" s="235">
        <v>65511</v>
      </c>
      <c r="Q2108" s="235">
        <v>1572</v>
      </c>
      <c r="R2108" s="235">
        <v>47296</v>
      </c>
      <c r="S2108" s="236">
        <v>10278.799999999999</v>
      </c>
      <c r="T2108" s="236">
        <v>1199.8</v>
      </c>
      <c r="U2108" s="236"/>
      <c r="V2108" s="235">
        <v>140589</v>
      </c>
      <c r="W2108" s="235">
        <v>49852</v>
      </c>
      <c r="X2108" s="235">
        <v>45644</v>
      </c>
      <c r="Y2108" s="235">
        <v>92778</v>
      </c>
      <c r="Z2108" s="235">
        <v>83743</v>
      </c>
      <c r="AB2108" s="279">
        <f t="shared" si="2437"/>
        <v>45324</v>
      </c>
      <c r="AC2108" s="279" t="s">
        <v>213</v>
      </c>
      <c r="AD2108" s="303">
        <f t="shared" si="2482"/>
        <v>104</v>
      </c>
      <c r="AE2108" s="303">
        <f t="shared" si="2483"/>
        <v>360</v>
      </c>
    </row>
    <row r="2109" spans="1:31" ht="18" customHeight="1" x14ac:dyDescent="0.2">
      <c r="A2109" s="279">
        <f t="shared" si="2472"/>
        <v>44960</v>
      </c>
      <c r="B2109" s="278" t="s">
        <v>189</v>
      </c>
      <c r="C2109" s="299">
        <f t="shared" si="2478"/>
        <v>1991</v>
      </c>
      <c r="D2109" s="300">
        <f t="shared" si="2479"/>
        <v>936</v>
      </c>
      <c r="E2109" s="301">
        <f t="shared" si="2477"/>
        <v>692.00000000011642</v>
      </c>
      <c r="F2109" s="301">
        <f t="shared" si="2480"/>
        <v>125</v>
      </c>
      <c r="G2109" s="302">
        <f t="shared" si="2481"/>
        <v>3744.0000000001164</v>
      </c>
      <c r="H2109" s="199"/>
      <c r="I2109" s="199"/>
      <c r="J2109" s="200"/>
      <c r="K2109" s="201"/>
      <c r="L2109" s="276"/>
      <c r="M2109" s="276"/>
      <c r="N2109" s="235">
        <v>86737</v>
      </c>
      <c r="O2109" s="235">
        <v>36202</v>
      </c>
      <c r="P2109" s="235">
        <v>65524</v>
      </c>
      <c r="Q2109" s="235">
        <v>1617</v>
      </c>
      <c r="R2109" s="235">
        <v>47296</v>
      </c>
      <c r="S2109" s="236">
        <v>10295.799999999999</v>
      </c>
      <c r="T2109" s="236">
        <v>1200.2</v>
      </c>
      <c r="U2109" s="236"/>
      <c r="V2109" s="235">
        <v>140737</v>
      </c>
      <c r="W2109" s="235">
        <v>49875</v>
      </c>
      <c r="X2109" s="235">
        <v>45698</v>
      </c>
      <c r="Y2109" s="235">
        <v>92778</v>
      </c>
      <c r="Z2109" s="235">
        <v>83867</v>
      </c>
      <c r="AB2109" s="279">
        <f t="shared" si="2437"/>
        <v>45325</v>
      </c>
      <c r="AC2109" s="279" t="s">
        <v>214</v>
      </c>
      <c r="AD2109" s="303">
        <f t="shared" si="2482"/>
        <v>112</v>
      </c>
      <c r="AE2109" s="303">
        <f t="shared" si="2483"/>
        <v>432</v>
      </c>
    </row>
    <row r="2110" spans="1:31" ht="18" customHeight="1" x14ac:dyDescent="0.2">
      <c r="A2110" s="279">
        <f t="shared" si="2472"/>
        <v>44961</v>
      </c>
      <c r="B2110" s="279" t="s">
        <v>195</v>
      </c>
      <c r="C2110" s="299">
        <f t="shared" ref="C2110:C2111" si="2484">(V2111-V2110)*1+(W2111-W2110)*32+(X2111-X2110)*12+(Y2111-Y2110)*6</f>
        <v>0</v>
      </c>
      <c r="D2110" s="300">
        <f t="shared" ref="D2110:D2111" si="2485">(N2111-N2110)*8+(P2111-P2110)*8+(R2111-R2110)*1</f>
        <v>0</v>
      </c>
      <c r="E2110" s="301">
        <f t="shared" ref="E2110" si="2486">(S2111-S2110)*80+(T2111-T2110)*40</f>
        <v>0</v>
      </c>
      <c r="F2110" s="301">
        <f t="shared" ref="F2110:F2111" si="2487">(Z2111-Z2110)*1</f>
        <v>0</v>
      </c>
      <c r="G2110" s="302">
        <f t="shared" ref="G2110:G2111" si="2488">C2110+D2110+F2110+E2110</f>
        <v>0</v>
      </c>
      <c r="H2110" s="199"/>
      <c r="I2110" s="199"/>
      <c r="J2110" s="200"/>
      <c r="K2110" s="201"/>
      <c r="L2110" s="276"/>
      <c r="M2110" s="276"/>
      <c r="N2110" s="235">
        <v>86840</v>
      </c>
      <c r="O2110" s="235">
        <v>36238</v>
      </c>
      <c r="P2110" s="235">
        <v>65538</v>
      </c>
      <c r="Q2110" s="235">
        <v>1671</v>
      </c>
      <c r="R2110" s="235">
        <v>47296</v>
      </c>
      <c r="S2110" s="236">
        <v>10304.200000000001</v>
      </c>
      <c r="T2110" s="236">
        <v>1200.7</v>
      </c>
      <c r="U2110" s="236"/>
      <c r="V2110" s="235">
        <v>140880</v>
      </c>
      <c r="W2110" s="235">
        <v>49899</v>
      </c>
      <c r="X2110" s="235">
        <v>45788</v>
      </c>
      <c r="Y2110" s="235">
        <v>92778</v>
      </c>
      <c r="Z2110" s="235">
        <v>83992</v>
      </c>
      <c r="AC2110" s="279" t="s">
        <v>215</v>
      </c>
      <c r="AD2110" s="303">
        <f t="shared" ref="AD2110:AD2116" si="2489">(P2111-P2110)*8</f>
        <v>0</v>
      </c>
      <c r="AE2110" s="303">
        <f t="shared" ref="AE2110:AE2116" si="2490">(Q2111-Q2110)*8</f>
        <v>0</v>
      </c>
    </row>
    <row r="2111" spans="1:31" ht="18" customHeight="1" x14ac:dyDescent="0.2">
      <c r="A2111" s="279">
        <f t="shared" si="2472"/>
        <v>44962</v>
      </c>
      <c r="B2111" s="278" t="s">
        <v>190</v>
      </c>
      <c r="C2111" s="299">
        <f t="shared" si="2484"/>
        <v>1691</v>
      </c>
      <c r="D2111" s="300">
        <f t="shared" si="2485"/>
        <v>1304</v>
      </c>
      <c r="E2111" s="301">
        <f>(S2112-S2111)*80+(T2112-T2111)*40+(U2112-U2111)*80</f>
        <v>1115.9999999998781</v>
      </c>
      <c r="F2111" s="301">
        <f t="shared" si="2487"/>
        <v>231</v>
      </c>
      <c r="G2111" s="302">
        <f t="shared" si="2488"/>
        <v>4341.9999999998781</v>
      </c>
      <c r="H2111" s="199"/>
      <c r="I2111" s="199"/>
      <c r="J2111" s="200"/>
      <c r="K2111" s="201"/>
      <c r="L2111" s="276"/>
      <c r="M2111" s="276"/>
      <c r="N2111" s="153">
        <v>86840</v>
      </c>
      <c r="O2111" s="153">
        <v>36238</v>
      </c>
      <c r="P2111" s="153">
        <v>65538</v>
      </c>
      <c r="Q2111" s="153">
        <v>1671</v>
      </c>
      <c r="R2111" s="153">
        <v>47296</v>
      </c>
      <c r="S2111" s="154">
        <v>10304.200000000001</v>
      </c>
      <c r="T2111" s="154">
        <v>1200.7</v>
      </c>
      <c r="U2111" s="154">
        <v>0</v>
      </c>
      <c r="V2111" s="153">
        <v>140880</v>
      </c>
      <c r="W2111" s="153">
        <v>49899</v>
      </c>
      <c r="X2111" s="153">
        <v>45788</v>
      </c>
      <c r="Y2111" s="153">
        <v>92778</v>
      </c>
      <c r="Z2111" s="153">
        <v>83992</v>
      </c>
      <c r="AC2111" s="279" t="s">
        <v>216</v>
      </c>
      <c r="AD2111" s="303">
        <f t="shared" si="2489"/>
        <v>184</v>
      </c>
      <c r="AE2111" s="303">
        <f t="shared" si="2490"/>
        <v>704</v>
      </c>
    </row>
    <row r="2112" spans="1:31" ht="18" customHeight="1" x14ac:dyDescent="0.2">
      <c r="A2112" s="279">
        <f t="shared" si="2472"/>
        <v>44963</v>
      </c>
      <c r="B2112" s="280" t="s">
        <v>191</v>
      </c>
      <c r="C2112" s="299">
        <f t="shared" ref="C2112:C2118" si="2491">(V2113-V2112)*1+(W2113-W2112)*32+(X2113-X2112)*12+(Y2113-Y2112)*6</f>
        <v>1932</v>
      </c>
      <c r="D2112" s="300">
        <f t="shared" ref="D2112:D2118" si="2492">(N2113-N2112)*8+(P2113-P2112)*8+(R2113-R2112)*1</f>
        <v>872</v>
      </c>
      <c r="E2112" s="301">
        <f t="shared" ref="E2112:E2118" si="2493">(S2113-S2112)*80+(T2113-T2112)*40+(U2113-U2112)*80</f>
        <v>1752.0000000000036</v>
      </c>
      <c r="F2112" s="301">
        <f t="shared" ref="F2112:F2118" si="2494">(Z2113-Z2112)*1</f>
        <v>118</v>
      </c>
      <c r="G2112" s="302">
        <f t="shared" ref="G2112:G2118" si="2495">C2112+D2112+F2112+E2112</f>
        <v>4674.0000000000036</v>
      </c>
      <c r="H2112" s="199"/>
      <c r="I2112" s="199"/>
      <c r="J2112" s="200"/>
      <c r="K2112" s="201"/>
      <c r="L2112" s="276"/>
      <c r="M2112" s="276"/>
      <c r="N2112" s="235">
        <v>86980</v>
      </c>
      <c r="O2112" s="235">
        <v>36288</v>
      </c>
      <c r="P2112" s="235">
        <v>65561</v>
      </c>
      <c r="Q2112" s="235">
        <v>1759</v>
      </c>
      <c r="R2112" s="235">
        <v>47296</v>
      </c>
      <c r="S2112" s="236">
        <v>10316.299999999999</v>
      </c>
      <c r="T2112" s="236">
        <v>1201.5999999999999</v>
      </c>
      <c r="U2112" s="236">
        <v>1.4</v>
      </c>
      <c r="V2112" s="235">
        <v>141123</v>
      </c>
      <c r="W2112" s="235">
        <v>49930</v>
      </c>
      <c r="X2112" s="235">
        <v>45826</v>
      </c>
      <c r="Y2112" s="235">
        <v>92778</v>
      </c>
      <c r="Z2112" s="235">
        <v>84223</v>
      </c>
      <c r="AC2112" s="279" t="s">
        <v>210</v>
      </c>
      <c r="AD2112" s="303">
        <f t="shared" si="2489"/>
        <v>112</v>
      </c>
      <c r="AE2112" s="303">
        <f t="shared" si="2490"/>
        <v>440</v>
      </c>
    </row>
    <row r="2113" spans="1:31" ht="18" customHeight="1" x14ac:dyDescent="0.2">
      <c r="A2113" s="279">
        <f t="shared" si="2472"/>
        <v>44964</v>
      </c>
      <c r="B2113" s="280" t="s">
        <v>192</v>
      </c>
      <c r="C2113" s="299">
        <f t="shared" si="2491"/>
        <v>1937</v>
      </c>
      <c r="D2113" s="300">
        <f t="shared" si="2492"/>
        <v>824</v>
      </c>
      <c r="E2113" s="301">
        <f t="shared" si="2493"/>
        <v>1652.0000000000873</v>
      </c>
      <c r="F2113" s="301">
        <f t="shared" si="2494"/>
        <v>114</v>
      </c>
      <c r="G2113" s="302">
        <f t="shared" si="2495"/>
        <v>4527.0000000000873</v>
      </c>
      <c r="H2113" s="199"/>
      <c r="I2113" s="199"/>
      <c r="J2113" s="200"/>
      <c r="K2113" s="201"/>
      <c r="L2113" s="276"/>
      <c r="M2113" s="276"/>
      <c r="N2113" s="235">
        <v>87075</v>
      </c>
      <c r="O2113" s="235">
        <v>36324</v>
      </c>
      <c r="P2113" s="235">
        <v>65575</v>
      </c>
      <c r="Q2113" s="235">
        <v>1814</v>
      </c>
      <c r="R2113" s="235">
        <v>47296</v>
      </c>
      <c r="S2113" s="236">
        <v>10335.299999999999</v>
      </c>
      <c r="T2113" s="236">
        <v>1202</v>
      </c>
      <c r="U2113" s="236">
        <v>4.0999999999999996</v>
      </c>
      <c r="V2113" s="235">
        <v>141267</v>
      </c>
      <c r="W2113" s="235">
        <v>49957</v>
      </c>
      <c r="X2113" s="235">
        <v>45903</v>
      </c>
      <c r="Y2113" s="235">
        <v>92778</v>
      </c>
      <c r="Z2113" s="235">
        <v>84341</v>
      </c>
      <c r="AC2113" s="279" t="s">
        <v>211</v>
      </c>
      <c r="AD2113" s="303">
        <f t="shared" si="2489"/>
        <v>112</v>
      </c>
      <c r="AE2113" s="303">
        <f t="shared" si="2490"/>
        <v>448</v>
      </c>
    </row>
    <row r="2114" spans="1:31" ht="18" customHeight="1" x14ac:dyDescent="0.2">
      <c r="A2114" s="279">
        <f t="shared" si="2472"/>
        <v>44965</v>
      </c>
      <c r="B2114" s="280" t="s">
        <v>193</v>
      </c>
      <c r="C2114" s="299">
        <f t="shared" si="2491"/>
        <v>1951</v>
      </c>
      <c r="D2114" s="300">
        <f t="shared" si="2492"/>
        <v>800</v>
      </c>
      <c r="E2114" s="301">
        <f t="shared" si="2493"/>
        <v>1616.0000000000036</v>
      </c>
      <c r="F2114" s="301">
        <f t="shared" si="2494"/>
        <v>108</v>
      </c>
      <c r="G2114" s="302">
        <f t="shared" si="2495"/>
        <v>4475.0000000000036</v>
      </c>
      <c r="H2114" s="199"/>
      <c r="I2114" s="199"/>
      <c r="J2114" s="200"/>
      <c r="K2114" s="201"/>
      <c r="L2114" s="276"/>
      <c r="M2114" s="276"/>
      <c r="N2114" s="235">
        <v>87164</v>
      </c>
      <c r="O2114" s="235">
        <v>36358</v>
      </c>
      <c r="P2114" s="235">
        <v>65589</v>
      </c>
      <c r="Q2114" s="235">
        <v>1870</v>
      </c>
      <c r="R2114" s="235">
        <v>47296</v>
      </c>
      <c r="S2114" s="236">
        <v>10352.1</v>
      </c>
      <c r="T2114" s="236">
        <v>1202.5</v>
      </c>
      <c r="U2114" s="236">
        <v>7.7</v>
      </c>
      <c r="V2114" s="235">
        <v>141416</v>
      </c>
      <c r="W2114" s="235">
        <v>49984</v>
      </c>
      <c r="X2114" s="235">
        <v>45980</v>
      </c>
      <c r="Y2114" s="235">
        <v>92778</v>
      </c>
      <c r="Z2114" s="235">
        <v>84455</v>
      </c>
      <c r="AC2114" s="279" t="s">
        <v>212</v>
      </c>
      <c r="AD2114" s="303">
        <f t="shared" si="2489"/>
        <v>112</v>
      </c>
      <c r="AE2114" s="303">
        <f t="shared" si="2490"/>
        <v>416</v>
      </c>
    </row>
    <row r="2115" spans="1:31" ht="18" customHeight="1" x14ac:dyDescent="0.2">
      <c r="A2115" s="279">
        <f t="shared" si="2472"/>
        <v>44966</v>
      </c>
      <c r="B2115" s="280" t="s">
        <v>194</v>
      </c>
      <c r="C2115" s="299">
        <f t="shared" si="2491"/>
        <v>1986</v>
      </c>
      <c r="D2115" s="300">
        <f t="shared" si="2492"/>
        <v>824</v>
      </c>
      <c r="E2115" s="301">
        <f t="shared" si="2493"/>
        <v>1828.0000000000291</v>
      </c>
      <c r="F2115" s="301">
        <f t="shared" si="2494"/>
        <v>107</v>
      </c>
      <c r="G2115" s="302">
        <f t="shared" si="2495"/>
        <v>4745.0000000000291</v>
      </c>
      <c r="H2115" s="199"/>
      <c r="I2115" s="199"/>
      <c r="J2115" s="200"/>
      <c r="K2115" s="201"/>
      <c r="L2115" s="276"/>
      <c r="M2115" s="276"/>
      <c r="N2115" s="235">
        <v>87250</v>
      </c>
      <c r="O2115" s="235">
        <v>36391</v>
      </c>
      <c r="P2115" s="235">
        <v>65603</v>
      </c>
      <c r="Q2115" s="235">
        <v>1922</v>
      </c>
      <c r="R2115" s="235">
        <v>47296</v>
      </c>
      <c r="S2115" s="236">
        <v>10367.1</v>
      </c>
      <c r="T2115" s="236">
        <v>1202.9000000000001</v>
      </c>
      <c r="U2115" s="236">
        <v>12.7</v>
      </c>
      <c r="V2115" s="235">
        <v>141567</v>
      </c>
      <c r="W2115" s="235">
        <v>50011</v>
      </c>
      <c r="X2115" s="235">
        <v>46058</v>
      </c>
      <c r="Y2115" s="235">
        <v>92778</v>
      </c>
      <c r="Z2115" s="235">
        <v>84563</v>
      </c>
      <c r="AC2115" s="279" t="s">
        <v>213</v>
      </c>
      <c r="AD2115" s="303">
        <f t="shared" si="2489"/>
        <v>112</v>
      </c>
      <c r="AE2115" s="303">
        <f t="shared" si="2490"/>
        <v>432</v>
      </c>
    </row>
    <row r="2116" spans="1:31" ht="18" customHeight="1" x14ac:dyDescent="0.2">
      <c r="A2116" s="279">
        <f t="shared" si="2472"/>
        <v>44967</v>
      </c>
      <c r="B2116" s="278" t="s">
        <v>189</v>
      </c>
      <c r="C2116" s="299">
        <f t="shared" si="2491"/>
        <v>0</v>
      </c>
      <c r="D2116" s="300">
        <f t="shared" si="2492"/>
        <v>0</v>
      </c>
      <c r="E2116" s="301">
        <f t="shared" si="2493"/>
        <v>0</v>
      </c>
      <c r="F2116" s="301">
        <f t="shared" si="2494"/>
        <v>0</v>
      </c>
      <c r="G2116" s="302">
        <f t="shared" si="2495"/>
        <v>0</v>
      </c>
      <c r="H2116" s="199"/>
      <c r="I2116" s="199"/>
      <c r="J2116" s="200"/>
      <c r="K2116" s="201"/>
      <c r="L2116" s="276"/>
      <c r="M2116" s="276"/>
      <c r="N2116" s="235">
        <v>87339</v>
      </c>
      <c r="O2116" s="235">
        <v>36423</v>
      </c>
      <c r="P2116" s="235">
        <v>65617</v>
      </c>
      <c r="Q2116" s="235">
        <v>1976</v>
      </c>
      <c r="R2116" s="235">
        <v>47296</v>
      </c>
      <c r="S2116" s="236">
        <v>10382.200000000001</v>
      </c>
      <c r="T2116" s="236">
        <v>1203.4000000000001</v>
      </c>
      <c r="U2116" s="236">
        <v>20.2</v>
      </c>
      <c r="V2116" s="235">
        <v>141721</v>
      </c>
      <c r="W2116" s="235">
        <v>50039</v>
      </c>
      <c r="X2116" s="235">
        <v>46136</v>
      </c>
      <c r="Y2116" s="235">
        <v>92778</v>
      </c>
      <c r="Z2116" s="235">
        <v>84670</v>
      </c>
      <c r="AC2116" s="279" t="s">
        <v>214</v>
      </c>
      <c r="AD2116" s="303">
        <f t="shared" si="2489"/>
        <v>0</v>
      </c>
      <c r="AE2116" s="303">
        <f t="shared" si="2490"/>
        <v>0</v>
      </c>
    </row>
    <row r="2117" spans="1:31" ht="18" customHeight="1" x14ac:dyDescent="0.2">
      <c r="A2117" s="279">
        <f t="shared" si="2472"/>
        <v>44968</v>
      </c>
      <c r="B2117" s="279" t="s">
        <v>195</v>
      </c>
      <c r="C2117" s="299">
        <f t="shared" si="2491"/>
        <v>0</v>
      </c>
      <c r="D2117" s="300">
        <f t="shared" si="2492"/>
        <v>0</v>
      </c>
      <c r="E2117" s="301">
        <f t="shared" si="2493"/>
        <v>0</v>
      </c>
      <c r="F2117" s="301">
        <f t="shared" si="2494"/>
        <v>0</v>
      </c>
      <c r="G2117" s="302">
        <f t="shared" si="2495"/>
        <v>0</v>
      </c>
      <c r="H2117" s="199"/>
      <c r="I2117" s="199"/>
      <c r="J2117" s="200"/>
      <c r="K2117" s="201"/>
      <c r="L2117" s="276"/>
      <c r="M2117" s="276"/>
      <c r="N2117" s="288">
        <v>87339</v>
      </c>
      <c r="O2117" s="288">
        <v>36423</v>
      </c>
      <c r="P2117" s="288">
        <v>65617</v>
      </c>
      <c r="Q2117" s="288">
        <v>1976</v>
      </c>
      <c r="R2117" s="288">
        <v>47296</v>
      </c>
      <c r="S2117" s="289">
        <v>10382.200000000001</v>
      </c>
      <c r="T2117" s="289">
        <v>1203.4000000000001</v>
      </c>
      <c r="U2117" s="289">
        <v>20.2</v>
      </c>
      <c r="V2117" s="288">
        <v>141721</v>
      </c>
      <c r="W2117" s="288">
        <v>50039</v>
      </c>
      <c r="X2117" s="288">
        <v>46136</v>
      </c>
      <c r="Y2117" s="288">
        <v>92778</v>
      </c>
      <c r="Z2117" s="288">
        <v>84670</v>
      </c>
      <c r="AC2117" s="279" t="s">
        <v>215</v>
      </c>
      <c r="AD2117" s="303">
        <f t="shared" ref="AD2117:AD2118" si="2496">(P2118-P2117)*8</f>
        <v>0</v>
      </c>
      <c r="AE2117" s="303">
        <f t="shared" ref="AE2117:AE2118" si="2497">(Q2118-Q2117)*8</f>
        <v>0</v>
      </c>
    </row>
    <row r="2118" spans="1:31" ht="18" customHeight="1" x14ac:dyDescent="0.2">
      <c r="A2118" s="279">
        <f t="shared" si="2472"/>
        <v>44969</v>
      </c>
      <c r="B2118" s="278" t="s">
        <v>190</v>
      </c>
      <c r="C2118" s="299">
        <f t="shared" si="2491"/>
        <v>2403</v>
      </c>
      <c r="D2118" s="300">
        <f t="shared" si="2492"/>
        <v>1112</v>
      </c>
      <c r="E2118" s="301">
        <f t="shared" si="2493"/>
        <v>2615.9999999999345</v>
      </c>
      <c r="F2118" s="301">
        <f t="shared" si="2494"/>
        <v>280</v>
      </c>
      <c r="G2118" s="302">
        <f t="shared" si="2495"/>
        <v>6410.9999999999345</v>
      </c>
      <c r="H2118" s="199"/>
      <c r="I2118" s="199"/>
      <c r="J2118" s="200"/>
      <c r="K2118" s="201"/>
      <c r="L2118" s="276"/>
      <c r="M2118" s="276"/>
      <c r="N2118" s="288">
        <v>87339</v>
      </c>
      <c r="O2118" s="288">
        <v>36423</v>
      </c>
      <c r="P2118" s="288">
        <v>65617</v>
      </c>
      <c r="Q2118" s="288">
        <v>1976</v>
      </c>
      <c r="R2118" s="288">
        <v>47296</v>
      </c>
      <c r="S2118" s="289">
        <v>10382.200000000001</v>
      </c>
      <c r="T2118" s="289">
        <v>1203.4000000000001</v>
      </c>
      <c r="U2118" s="289">
        <v>20.2</v>
      </c>
      <c r="V2118" s="288">
        <v>141721</v>
      </c>
      <c r="W2118" s="288">
        <v>50039</v>
      </c>
      <c r="X2118" s="288">
        <v>46136</v>
      </c>
      <c r="Y2118" s="288">
        <v>92778</v>
      </c>
      <c r="Z2118" s="288">
        <v>84670</v>
      </c>
      <c r="AC2118" s="279" t="s">
        <v>216</v>
      </c>
      <c r="AD2118" s="303">
        <f t="shared" si="2496"/>
        <v>280</v>
      </c>
      <c r="AE2118" s="303">
        <f t="shared" si="2497"/>
        <v>1736</v>
      </c>
    </row>
    <row r="2119" spans="1:31" ht="18" customHeight="1" x14ac:dyDescent="0.2">
      <c r="A2119" s="279">
        <f t="shared" si="2472"/>
        <v>44970</v>
      </c>
      <c r="B2119" s="280" t="s">
        <v>191</v>
      </c>
      <c r="C2119" s="299">
        <f t="shared" ref="C2119:C2125" si="2498">(V2120-V2119)*1+(W2120-W2119)*32+(X2120-X2119)*12+(Y2120-Y2119)*6</f>
        <v>2001</v>
      </c>
      <c r="D2119" s="300">
        <f t="shared" ref="D2119:D2125" si="2499">(N2120-N2119)*8+(P2120-P2119)*8+(R2120-R2119)*1</f>
        <v>808</v>
      </c>
      <c r="E2119" s="301">
        <f t="shared" ref="E2119:E2125" si="2500">(S2120-S2119)*80+(T2120-T2119)*40+(U2120-U2119)*80</f>
        <v>2132</v>
      </c>
      <c r="F2119" s="301">
        <f t="shared" ref="F2119:F2125" si="2501">(Z2120-Z2119)*1</f>
        <v>97</v>
      </c>
      <c r="G2119" s="302">
        <f t="shared" ref="G2119:G2125" si="2502">C2119+D2119+F2119+E2119</f>
        <v>5038</v>
      </c>
      <c r="H2119" s="199"/>
      <c r="I2119" s="199"/>
      <c r="J2119" s="200"/>
      <c r="K2119" s="201"/>
      <c r="L2119" s="276"/>
      <c r="M2119" s="276"/>
      <c r="N2119" s="235">
        <v>87443</v>
      </c>
      <c r="O2119" s="235">
        <v>36462</v>
      </c>
      <c r="P2119" s="235">
        <v>65652</v>
      </c>
      <c r="Q2119" s="235">
        <v>2193</v>
      </c>
      <c r="R2119" s="235">
        <v>47296</v>
      </c>
      <c r="S2119" s="236">
        <v>10406</v>
      </c>
      <c r="T2119" s="236">
        <v>1204.5999999999999</v>
      </c>
      <c r="U2119" s="236">
        <v>28.5</v>
      </c>
      <c r="V2119" s="235">
        <v>142100</v>
      </c>
      <c r="W2119" s="235">
        <v>50079</v>
      </c>
      <c r="X2119" s="235">
        <v>46198</v>
      </c>
      <c r="Y2119" s="235">
        <v>92778</v>
      </c>
      <c r="Z2119" s="235">
        <v>84950</v>
      </c>
      <c r="AC2119" s="279" t="s">
        <v>210</v>
      </c>
      <c r="AD2119" s="303">
        <f t="shared" ref="AD2119:AD2125" si="2503">(P2120-P2119)*8</f>
        <v>120</v>
      </c>
      <c r="AE2119" s="303">
        <f t="shared" ref="AE2119:AE2125" si="2504">(Q2120-Q2119)*8</f>
        <v>448</v>
      </c>
    </row>
    <row r="2120" spans="1:31" ht="18" customHeight="1" x14ac:dyDescent="0.2">
      <c r="A2120" s="279">
        <f t="shared" si="2472"/>
        <v>44971</v>
      </c>
      <c r="B2120" s="280" t="s">
        <v>192</v>
      </c>
      <c r="C2120" s="299">
        <f t="shared" si="2498"/>
        <v>1981</v>
      </c>
      <c r="D2120" s="300">
        <f t="shared" si="2499"/>
        <v>904</v>
      </c>
      <c r="E2120" s="301">
        <f t="shared" si="2500"/>
        <v>1680.0000000000291</v>
      </c>
      <c r="F2120" s="301">
        <f t="shared" si="2501"/>
        <v>144</v>
      </c>
      <c r="G2120" s="302">
        <f t="shared" si="2502"/>
        <v>4709.0000000000291</v>
      </c>
      <c r="H2120" s="199"/>
      <c r="I2120" s="199"/>
      <c r="J2120" s="200"/>
      <c r="K2120" s="201"/>
      <c r="L2120" s="276"/>
      <c r="M2120" s="276"/>
      <c r="N2120" s="235">
        <v>87529</v>
      </c>
      <c r="O2120" s="235">
        <v>36492</v>
      </c>
      <c r="P2120" s="235">
        <v>65667</v>
      </c>
      <c r="Q2120" s="235">
        <v>2249</v>
      </c>
      <c r="R2120" s="235">
        <v>47296</v>
      </c>
      <c r="S2120" s="236">
        <v>10425</v>
      </c>
      <c r="T2120" s="236">
        <v>1205.0999999999999</v>
      </c>
      <c r="U2120" s="236">
        <v>35.9</v>
      </c>
      <c r="V2120" s="235">
        <v>142289</v>
      </c>
      <c r="W2120" s="235">
        <v>50109</v>
      </c>
      <c r="X2120" s="235">
        <v>46269</v>
      </c>
      <c r="Y2120" s="235">
        <v>92778</v>
      </c>
      <c r="Z2120" s="235">
        <v>85047</v>
      </c>
      <c r="AC2120" s="279" t="s">
        <v>211</v>
      </c>
      <c r="AD2120" s="303">
        <f t="shared" si="2503"/>
        <v>120</v>
      </c>
      <c r="AE2120" s="303">
        <f t="shared" si="2504"/>
        <v>488</v>
      </c>
    </row>
    <row r="2121" spans="1:31" ht="18" customHeight="1" x14ac:dyDescent="0.2">
      <c r="A2121" s="279">
        <f t="shared" si="2472"/>
        <v>44972</v>
      </c>
      <c r="B2121" s="280" t="s">
        <v>193</v>
      </c>
      <c r="C2121" s="299">
        <f t="shared" si="2498"/>
        <v>1840</v>
      </c>
      <c r="D2121" s="300">
        <f t="shared" si="2499"/>
        <v>848</v>
      </c>
      <c r="E2121" s="301">
        <f t="shared" si="2500"/>
        <v>1803.9999999999127</v>
      </c>
      <c r="F2121" s="301">
        <f t="shared" si="2501"/>
        <v>156</v>
      </c>
      <c r="G2121" s="302">
        <f t="shared" si="2502"/>
        <v>4647.9999999999127</v>
      </c>
      <c r="H2121" s="199"/>
      <c r="I2121" s="199"/>
      <c r="J2121" s="200"/>
      <c r="K2121" s="201"/>
      <c r="L2121" s="276"/>
      <c r="M2121" s="276"/>
      <c r="N2121" s="235">
        <v>87627</v>
      </c>
      <c r="O2121" s="235">
        <v>36529</v>
      </c>
      <c r="P2121" s="235">
        <v>65682</v>
      </c>
      <c r="Q2121" s="235">
        <v>2310</v>
      </c>
      <c r="R2121" s="235">
        <v>47296</v>
      </c>
      <c r="S2121" s="236">
        <v>10443.6</v>
      </c>
      <c r="T2121" s="236">
        <v>1206.0999999999999</v>
      </c>
      <c r="U2121" s="236">
        <v>37.799999999999997</v>
      </c>
      <c r="V2121" s="235">
        <v>142458</v>
      </c>
      <c r="W2121" s="235">
        <v>50136</v>
      </c>
      <c r="X2121" s="235">
        <v>46348</v>
      </c>
      <c r="Y2121" s="235">
        <v>92778</v>
      </c>
      <c r="Z2121" s="235">
        <v>85191</v>
      </c>
      <c r="AC2121" s="279" t="s">
        <v>212</v>
      </c>
      <c r="AD2121" s="303">
        <f t="shared" si="2503"/>
        <v>112</v>
      </c>
      <c r="AE2121" s="303">
        <f t="shared" si="2504"/>
        <v>448</v>
      </c>
    </row>
    <row r="2122" spans="1:31" ht="18" customHeight="1" x14ac:dyDescent="0.2">
      <c r="A2122" s="279">
        <f t="shared" si="2472"/>
        <v>44973</v>
      </c>
      <c r="B2122" s="280" t="s">
        <v>194</v>
      </c>
      <c r="C2122" s="299">
        <f t="shared" si="2498"/>
        <v>1976</v>
      </c>
      <c r="D2122" s="300">
        <f t="shared" si="2499"/>
        <v>792</v>
      </c>
      <c r="E2122" s="301">
        <f t="shared" si="2500"/>
        <v>1188.0000000000348</v>
      </c>
      <c r="F2122" s="301">
        <f t="shared" si="2501"/>
        <v>135</v>
      </c>
      <c r="G2122" s="302">
        <f t="shared" si="2502"/>
        <v>4091.0000000000346</v>
      </c>
      <c r="H2122" s="199"/>
      <c r="I2122" s="199"/>
      <c r="J2122" s="200"/>
      <c r="K2122" s="201"/>
      <c r="L2122" s="276"/>
      <c r="M2122" s="276"/>
      <c r="N2122" s="235">
        <v>87719</v>
      </c>
      <c r="O2122" s="235">
        <v>36562</v>
      </c>
      <c r="P2122" s="235">
        <v>65696</v>
      </c>
      <c r="Q2122" s="235">
        <v>2366</v>
      </c>
      <c r="R2122" s="235">
        <v>47296</v>
      </c>
      <c r="S2122" s="236">
        <v>10463.299999999999</v>
      </c>
      <c r="T2122" s="236">
        <v>1206.5999999999999</v>
      </c>
      <c r="U2122" s="236">
        <v>40.4</v>
      </c>
      <c r="V2122" s="235">
        <v>142622</v>
      </c>
      <c r="W2122" s="235">
        <v>50161</v>
      </c>
      <c r="X2122" s="235">
        <v>46421</v>
      </c>
      <c r="Y2122" s="235">
        <v>92778</v>
      </c>
      <c r="Z2122" s="235">
        <v>85347</v>
      </c>
      <c r="AC2122" s="279" t="s">
        <v>213</v>
      </c>
      <c r="AD2122" s="303">
        <f t="shared" si="2503"/>
        <v>112</v>
      </c>
      <c r="AE2122" s="303">
        <f t="shared" si="2504"/>
        <v>440</v>
      </c>
    </row>
    <row r="2123" spans="1:31" ht="18" customHeight="1" x14ac:dyDescent="0.2">
      <c r="A2123" s="279">
        <f t="shared" si="2472"/>
        <v>44974</v>
      </c>
      <c r="B2123" s="278" t="s">
        <v>189</v>
      </c>
      <c r="C2123" s="299">
        <f t="shared" si="2498"/>
        <v>1812</v>
      </c>
      <c r="D2123" s="300">
        <f t="shared" si="2499"/>
        <v>840</v>
      </c>
      <c r="E2123" s="301">
        <f t="shared" si="2500"/>
        <v>148.0000000000274</v>
      </c>
      <c r="F2123" s="301">
        <f t="shared" si="2501"/>
        <v>148</v>
      </c>
      <c r="G2123" s="302">
        <f t="shared" si="2502"/>
        <v>2948.0000000000273</v>
      </c>
      <c r="H2123" s="199"/>
      <c r="I2123" s="199"/>
      <c r="J2123" s="200"/>
      <c r="K2123" s="201"/>
      <c r="L2123" s="276"/>
      <c r="M2123" s="276"/>
      <c r="N2123" s="235">
        <v>87804</v>
      </c>
      <c r="O2123" s="235">
        <v>36594</v>
      </c>
      <c r="P2123" s="235">
        <v>65710</v>
      </c>
      <c r="Q2123" s="235">
        <v>2421</v>
      </c>
      <c r="R2123" s="235">
        <v>47296</v>
      </c>
      <c r="S2123" s="236">
        <v>10473.9</v>
      </c>
      <c r="T2123" s="236">
        <v>1208.7</v>
      </c>
      <c r="U2123" s="236">
        <v>43.6</v>
      </c>
      <c r="V2123" s="235">
        <v>142786</v>
      </c>
      <c r="W2123" s="235">
        <v>50188</v>
      </c>
      <c r="X2123" s="235">
        <v>46500</v>
      </c>
      <c r="Y2123" s="235">
        <v>92778</v>
      </c>
      <c r="Z2123" s="235">
        <v>85482</v>
      </c>
      <c r="AC2123" s="279" t="s">
        <v>214</v>
      </c>
      <c r="AD2123" s="303">
        <f t="shared" si="2503"/>
        <v>104</v>
      </c>
      <c r="AE2123" s="303">
        <f t="shared" si="2504"/>
        <v>440</v>
      </c>
    </row>
    <row r="2124" spans="1:31" ht="18" customHeight="1" x14ac:dyDescent="0.2">
      <c r="A2124" s="279">
        <f t="shared" si="2472"/>
        <v>44975</v>
      </c>
      <c r="B2124" s="279" t="s">
        <v>195</v>
      </c>
      <c r="C2124" s="299">
        <f t="shared" si="2498"/>
        <v>0</v>
      </c>
      <c r="D2124" s="300">
        <f t="shared" si="2499"/>
        <v>0</v>
      </c>
      <c r="E2124" s="301">
        <f t="shared" si="2500"/>
        <v>0</v>
      </c>
      <c r="F2124" s="301">
        <f t="shared" si="2501"/>
        <v>0</v>
      </c>
      <c r="G2124" s="302">
        <f t="shared" si="2502"/>
        <v>0</v>
      </c>
      <c r="H2124" s="199"/>
      <c r="I2124" s="199"/>
      <c r="J2124" s="200"/>
      <c r="K2124" s="201"/>
      <c r="L2124" s="276"/>
      <c r="M2124" s="276"/>
      <c r="N2124" s="235">
        <v>87896</v>
      </c>
      <c r="O2124" s="235">
        <v>36627</v>
      </c>
      <c r="P2124" s="235">
        <v>65723</v>
      </c>
      <c r="Q2124" s="235">
        <v>2476</v>
      </c>
      <c r="R2124" s="235">
        <v>47296</v>
      </c>
      <c r="S2124" s="236">
        <v>10475</v>
      </c>
      <c r="T2124" s="236">
        <v>1210</v>
      </c>
      <c r="U2124" s="236">
        <v>43.7</v>
      </c>
      <c r="V2124" s="235">
        <v>142962</v>
      </c>
      <c r="W2124" s="235">
        <v>50214</v>
      </c>
      <c r="X2124" s="235">
        <v>46567</v>
      </c>
      <c r="Y2124" s="235">
        <v>92778</v>
      </c>
      <c r="Z2124" s="235">
        <v>85630</v>
      </c>
      <c r="AC2124" s="279" t="s">
        <v>215</v>
      </c>
      <c r="AD2124" s="303">
        <f t="shared" si="2503"/>
        <v>0</v>
      </c>
      <c r="AE2124" s="303">
        <f t="shared" si="2504"/>
        <v>0</v>
      </c>
    </row>
    <row r="2125" spans="1:31" ht="18" customHeight="1" x14ac:dyDescent="0.2">
      <c r="A2125" s="279">
        <f t="shared" si="2472"/>
        <v>44976</v>
      </c>
      <c r="B2125" s="278" t="s">
        <v>190</v>
      </c>
      <c r="C2125" s="299">
        <f t="shared" si="2498"/>
        <v>2326</v>
      </c>
      <c r="D2125" s="300">
        <f t="shared" si="2499"/>
        <v>736</v>
      </c>
      <c r="E2125" s="301">
        <f t="shared" si="2500"/>
        <v>1175.9999999999741</v>
      </c>
      <c r="F2125" s="301">
        <f t="shared" si="2501"/>
        <v>107</v>
      </c>
      <c r="G2125" s="302">
        <f t="shared" si="2502"/>
        <v>4344.9999999999745</v>
      </c>
      <c r="H2125" s="199"/>
      <c r="I2125" s="199"/>
      <c r="J2125" s="200"/>
      <c r="K2125" s="201"/>
      <c r="L2125" s="276"/>
      <c r="M2125" s="276"/>
      <c r="N2125" s="153">
        <v>87896</v>
      </c>
      <c r="O2125" s="153">
        <v>36627</v>
      </c>
      <c r="P2125" s="153">
        <v>65723</v>
      </c>
      <c r="Q2125" s="153">
        <v>2476</v>
      </c>
      <c r="R2125" s="153">
        <v>47296</v>
      </c>
      <c r="S2125" s="154">
        <v>10475</v>
      </c>
      <c r="T2125" s="154">
        <v>1210</v>
      </c>
      <c r="U2125" s="154">
        <v>43.7</v>
      </c>
      <c r="V2125" s="153">
        <v>142962</v>
      </c>
      <c r="W2125" s="153">
        <v>50214</v>
      </c>
      <c r="X2125" s="153">
        <v>46567</v>
      </c>
      <c r="Y2125" s="153">
        <v>92778</v>
      </c>
      <c r="Z2125" s="153">
        <v>85630</v>
      </c>
      <c r="AC2125" s="279" t="s">
        <v>216</v>
      </c>
      <c r="AD2125" s="303">
        <f t="shared" si="2503"/>
        <v>112</v>
      </c>
      <c r="AE2125" s="303">
        <f t="shared" si="2504"/>
        <v>456</v>
      </c>
    </row>
    <row r="2126" spans="1:31" ht="18" customHeight="1" x14ac:dyDescent="0.2">
      <c r="A2126" s="279">
        <f t="shared" si="2472"/>
        <v>44977</v>
      </c>
      <c r="B2126" s="280" t="s">
        <v>191</v>
      </c>
      <c r="C2126" s="299">
        <f t="shared" ref="C2126:C2134" si="2505">(V2127-V2126)*1+(W2127-W2126)*32+(X2127-X2126)*12+(Y2127-Y2126)*6</f>
        <v>2025</v>
      </c>
      <c r="D2126" s="300">
        <f t="shared" ref="D2126:D2134" si="2506">(N2127-N2126)*8+(P2127-P2126)*8+(R2127-R2126)*1</f>
        <v>848</v>
      </c>
      <c r="E2126" s="301">
        <f t="shared" ref="E2126:E2134" si="2507">(S2127-S2126)*80+(T2127-T2126)*40+(U2127-U2126)*80</f>
        <v>1720.0000000000255</v>
      </c>
      <c r="F2126" s="301">
        <f t="shared" ref="F2126:F2134" si="2508">(Z2127-Z2126)*1</f>
        <v>128</v>
      </c>
      <c r="G2126" s="302">
        <f t="shared" ref="G2126:G2134" si="2509">C2126+D2126+F2126+E2126</f>
        <v>4721.0000000000255</v>
      </c>
      <c r="H2126" s="199"/>
      <c r="I2126" s="199"/>
      <c r="J2126" s="200"/>
      <c r="K2126" s="201"/>
      <c r="L2126" s="276"/>
      <c r="M2126" s="276"/>
      <c r="N2126" s="235">
        <v>87974</v>
      </c>
      <c r="O2126" s="235">
        <v>36652</v>
      </c>
      <c r="P2126" s="235">
        <v>65737</v>
      </c>
      <c r="Q2126" s="235">
        <v>2533</v>
      </c>
      <c r="R2126" s="235">
        <v>47296</v>
      </c>
      <c r="S2126" s="236">
        <v>10487.9</v>
      </c>
      <c r="T2126" s="236">
        <v>1211.4000000000001</v>
      </c>
      <c r="U2126" s="236">
        <v>44.8</v>
      </c>
      <c r="V2126" s="235">
        <v>143260</v>
      </c>
      <c r="W2126" s="235">
        <v>50250</v>
      </c>
      <c r="X2126" s="235">
        <v>46640</v>
      </c>
      <c r="Y2126" s="235">
        <v>92778</v>
      </c>
      <c r="Z2126" s="235">
        <v>85737</v>
      </c>
      <c r="AC2126" s="279" t="s">
        <v>210</v>
      </c>
      <c r="AD2126" s="303">
        <f t="shared" ref="AD2126:AD2128" si="2510">(P2127-P2126)*8</f>
        <v>112</v>
      </c>
      <c r="AE2126" s="303">
        <f t="shared" ref="AE2126:AE2128" si="2511">(Q2127-Q2126)*8</f>
        <v>464</v>
      </c>
    </row>
    <row r="2127" spans="1:31" ht="18" customHeight="1" x14ac:dyDescent="0.2">
      <c r="A2127" s="279">
        <f t="shared" si="2472"/>
        <v>44978</v>
      </c>
      <c r="B2127" s="280" t="s">
        <v>192</v>
      </c>
      <c r="C2127" s="299">
        <f t="shared" si="2505"/>
        <v>1753</v>
      </c>
      <c r="D2127" s="300">
        <f t="shared" si="2506"/>
        <v>872</v>
      </c>
      <c r="E2127" s="301">
        <f t="shared" si="2507"/>
        <v>1760.000000000033</v>
      </c>
      <c r="F2127" s="301">
        <f t="shared" si="2508"/>
        <v>162</v>
      </c>
      <c r="G2127" s="302">
        <f t="shared" si="2509"/>
        <v>4547.0000000000327</v>
      </c>
      <c r="H2127" s="199"/>
      <c r="I2127" s="199"/>
      <c r="J2127" s="200"/>
      <c r="K2127" s="201"/>
      <c r="L2127" s="276"/>
      <c r="M2127" s="276"/>
      <c r="N2127" s="235">
        <v>88066</v>
      </c>
      <c r="O2127" s="235">
        <v>36686</v>
      </c>
      <c r="P2127" s="235">
        <v>65751</v>
      </c>
      <c r="Q2127" s="235">
        <v>2591</v>
      </c>
      <c r="R2127" s="235">
        <v>47296</v>
      </c>
      <c r="S2127" s="236">
        <v>10505.5</v>
      </c>
      <c r="T2127" s="236">
        <v>1212</v>
      </c>
      <c r="U2127" s="236">
        <v>48.4</v>
      </c>
      <c r="V2127" s="235">
        <v>143417</v>
      </c>
      <c r="W2127" s="235">
        <v>50278</v>
      </c>
      <c r="X2127" s="235">
        <v>46721</v>
      </c>
      <c r="Y2127" s="235">
        <v>92778</v>
      </c>
      <c r="Z2127" s="235">
        <v>85865</v>
      </c>
      <c r="AC2127" s="279" t="s">
        <v>211</v>
      </c>
      <c r="AD2127" s="303">
        <f t="shared" si="2510"/>
        <v>120</v>
      </c>
      <c r="AE2127" s="303">
        <f t="shared" si="2511"/>
        <v>488</v>
      </c>
    </row>
    <row r="2128" spans="1:31" ht="18" customHeight="1" x14ac:dyDescent="0.2">
      <c r="A2128" s="279">
        <f t="shared" si="2472"/>
        <v>44979</v>
      </c>
      <c r="B2128" s="280" t="s">
        <v>193</v>
      </c>
      <c r="C2128" s="299">
        <f t="shared" si="2505"/>
        <v>1496</v>
      </c>
      <c r="D2128" s="300">
        <f t="shared" si="2506"/>
        <v>864</v>
      </c>
      <c r="E2128" s="301">
        <f t="shared" si="2507"/>
        <v>1187.9999999999654</v>
      </c>
      <c r="F2128" s="301">
        <f t="shared" si="2508"/>
        <v>140</v>
      </c>
      <c r="G2128" s="302">
        <f t="shared" si="2509"/>
        <v>3687.9999999999654</v>
      </c>
      <c r="H2128" s="199"/>
      <c r="I2128" s="199"/>
      <c r="J2128" s="200"/>
      <c r="K2128" s="201"/>
      <c r="L2128" s="276"/>
      <c r="M2128" s="276"/>
      <c r="N2128" s="235">
        <v>88160</v>
      </c>
      <c r="O2128" s="235">
        <v>36721</v>
      </c>
      <c r="P2128" s="235">
        <v>65766</v>
      </c>
      <c r="Q2128" s="235">
        <v>2652</v>
      </c>
      <c r="R2128" s="235">
        <v>47296</v>
      </c>
      <c r="S2128" s="236">
        <v>10522.1</v>
      </c>
      <c r="T2128" s="236">
        <v>1212.4000000000001</v>
      </c>
      <c r="U2128" s="236">
        <v>53.6</v>
      </c>
      <c r="V2128" s="235">
        <v>143586</v>
      </c>
      <c r="W2128" s="235">
        <v>50302</v>
      </c>
      <c r="X2128" s="235">
        <v>46789</v>
      </c>
      <c r="Y2128" s="235">
        <v>92778</v>
      </c>
      <c r="Z2128" s="235">
        <v>86027</v>
      </c>
      <c r="AC2128" s="279" t="s">
        <v>212</v>
      </c>
      <c r="AD2128" s="303">
        <f t="shared" si="2510"/>
        <v>120</v>
      </c>
      <c r="AE2128" s="303">
        <f t="shared" si="2511"/>
        <v>472</v>
      </c>
    </row>
    <row r="2129" spans="1:31" ht="18" customHeight="1" x14ac:dyDescent="0.2">
      <c r="A2129" s="279">
        <f t="shared" si="2472"/>
        <v>44980</v>
      </c>
      <c r="B2129" s="280" t="s">
        <v>194</v>
      </c>
      <c r="C2129" s="299">
        <f t="shared" si="2505"/>
        <v>1412</v>
      </c>
      <c r="D2129" s="300">
        <f t="shared" si="2506"/>
        <v>864</v>
      </c>
      <c r="E2129" s="301">
        <f t="shared" si="2507"/>
        <v>888.00000000000352</v>
      </c>
      <c r="F2129" s="301">
        <f t="shared" si="2508"/>
        <v>135</v>
      </c>
      <c r="G2129" s="302">
        <f t="shared" si="2509"/>
        <v>3299.0000000000036</v>
      </c>
      <c r="H2129" s="199"/>
      <c r="I2129" s="199"/>
      <c r="J2129" s="200"/>
      <c r="K2129" s="201"/>
      <c r="L2129" s="276"/>
      <c r="M2129" s="276"/>
      <c r="N2129" s="235">
        <v>88253</v>
      </c>
      <c r="O2129" s="235">
        <v>36746</v>
      </c>
      <c r="P2129" s="235">
        <v>65781</v>
      </c>
      <c r="Q2129" s="235">
        <v>2711</v>
      </c>
      <c r="R2129" s="235">
        <v>47296</v>
      </c>
      <c r="S2129" s="236">
        <v>10532</v>
      </c>
      <c r="T2129" s="236">
        <v>1213.3</v>
      </c>
      <c r="U2129" s="236">
        <v>58.1</v>
      </c>
      <c r="V2129" s="235">
        <v>143742</v>
      </c>
      <c r="W2129" s="235">
        <v>50324</v>
      </c>
      <c r="X2129" s="235">
        <v>46842</v>
      </c>
      <c r="Y2129" s="235">
        <v>92778</v>
      </c>
      <c r="Z2129" s="235">
        <v>86167</v>
      </c>
      <c r="AC2129" s="279" t="s">
        <v>213</v>
      </c>
      <c r="AD2129" s="303">
        <f t="shared" ref="AD2129:AD2134" si="2512">(P2130-P2129)*8</f>
        <v>120</v>
      </c>
      <c r="AE2129" s="303">
        <f t="shared" ref="AE2129:AE2134" si="2513">(Q2130-Q2129)*8</f>
        <v>472</v>
      </c>
    </row>
    <row r="2130" spans="1:31" ht="18" customHeight="1" x14ac:dyDescent="0.2">
      <c r="A2130" s="279">
        <f t="shared" si="2472"/>
        <v>44981</v>
      </c>
      <c r="B2130" s="278" t="s">
        <v>189</v>
      </c>
      <c r="C2130" s="299">
        <f t="shared" si="2505"/>
        <v>0</v>
      </c>
      <c r="D2130" s="300">
        <f t="shared" si="2506"/>
        <v>0</v>
      </c>
      <c r="E2130" s="301">
        <f t="shared" si="2507"/>
        <v>0</v>
      </c>
      <c r="F2130" s="301">
        <f t="shared" si="2508"/>
        <v>0</v>
      </c>
      <c r="G2130" s="302">
        <f t="shared" si="2509"/>
        <v>0</v>
      </c>
      <c r="H2130" s="199"/>
      <c r="I2130" s="199"/>
      <c r="J2130" s="200"/>
      <c r="K2130" s="201"/>
      <c r="L2130" s="276"/>
      <c r="M2130" s="276"/>
      <c r="N2130" s="235">
        <v>88346</v>
      </c>
      <c r="O2130" s="235">
        <v>36780</v>
      </c>
      <c r="P2130" s="235">
        <v>65796</v>
      </c>
      <c r="Q2130" s="235">
        <v>2770</v>
      </c>
      <c r="R2130" s="235">
        <v>47296</v>
      </c>
      <c r="S2130" s="236">
        <v>10542</v>
      </c>
      <c r="T2130" s="236">
        <v>1213.7</v>
      </c>
      <c r="U2130" s="236">
        <v>59</v>
      </c>
      <c r="V2130" s="235">
        <v>143894</v>
      </c>
      <c r="W2130" s="235">
        <v>50345</v>
      </c>
      <c r="X2130" s="235">
        <v>46891</v>
      </c>
      <c r="Y2130" s="235">
        <v>92778</v>
      </c>
      <c r="Z2130" s="235">
        <v>86302</v>
      </c>
      <c r="AC2130" s="279" t="s">
        <v>214</v>
      </c>
      <c r="AD2130" s="303">
        <f t="shared" si="2512"/>
        <v>0</v>
      </c>
      <c r="AE2130" s="303">
        <f t="shared" si="2513"/>
        <v>0</v>
      </c>
    </row>
    <row r="2131" spans="1:31" ht="18" customHeight="1" x14ac:dyDescent="0.2">
      <c r="A2131" s="279">
        <f t="shared" si="2472"/>
        <v>44982</v>
      </c>
      <c r="B2131" s="279" t="s">
        <v>195</v>
      </c>
      <c r="C2131" s="299">
        <f t="shared" si="2505"/>
        <v>0</v>
      </c>
      <c r="D2131" s="300">
        <f t="shared" si="2506"/>
        <v>0</v>
      </c>
      <c r="E2131" s="301">
        <f t="shared" si="2507"/>
        <v>0</v>
      </c>
      <c r="F2131" s="301">
        <f t="shared" si="2508"/>
        <v>0</v>
      </c>
      <c r="G2131" s="302">
        <f t="shared" si="2509"/>
        <v>0</v>
      </c>
      <c r="H2131" s="199"/>
      <c r="I2131" s="199"/>
      <c r="J2131" s="200"/>
      <c r="K2131" s="201"/>
      <c r="L2131" s="276"/>
      <c r="M2131" s="276"/>
      <c r="N2131" s="153">
        <v>88346</v>
      </c>
      <c r="O2131" s="153">
        <v>36780</v>
      </c>
      <c r="P2131" s="153">
        <v>65796</v>
      </c>
      <c r="Q2131" s="153">
        <v>2770</v>
      </c>
      <c r="R2131" s="153">
        <v>47296</v>
      </c>
      <c r="S2131" s="154">
        <v>10542</v>
      </c>
      <c r="T2131" s="154">
        <v>1213.7</v>
      </c>
      <c r="U2131" s="154">
        <v>59</v>
      </c>
      <c r="V2131" s="153">
        <v>143894</v>
      </c>
      <c r="W2131" s="153">
        <v>50345</v>
      </c>
      <c r="X2131" s="153">
        <v>46891</v>
      </c>
      <c r="Y2131" s="153">
        <v>92778</v>
      </c>
      <c r="Z2131" s="153">
        <v>86302</v>
      </c>
      <c r="AC2131" s="279" t="s">
        <v>215</v>
      </c>
      <c r="AD2131" s="303">
        <f t="shared" si="2512"/>
        <v>0</v>
      </c>
      <c r="AE2131" s="303">
        <f t="shared" si="2513"/>
        <v>0</v>
      </c>
    </row>
    <row r="2132" spans="1:31" ht="18" customHeight="1" x14ac:dyDescent="0.2">
      <c r="A2132" s="279">
        <f t="shared" si="2472"/>
        <v>44983</v>
      </c>
      <c r="B2132" s="278" t="s">
        <v>190</v>
      </c>
      <c r="C2132" s="299">
        <f t="shared" si="2505"/>
        <v>0</v>
      </c>
      <c r="D2132" s="300">
        <f t="shared" si="2506"/>
        <v>0</v>
      </c>
      <c r="E2132" s="301">
        <f t="shared" si="2507"/>
        <v>0</v>
      </c>
      <c r="F2132" s="301">
        <f t="shared" si="2508"/>
        <v>0</v>
      </c>
      <c r="G2132" s="302">
        <f t="shared" si="2509"/>
        <v>0</v>
      </c>
      <c r="H2132" s="199"/>
      <c r="I2132" s="199"/>
      <c r="J2132" s="200"/>
      <c r="K2132" s="201"/>
      <c r="L2132" s="276"/>
      <c r="M2132" s="276"/>
      <c r="N2132" s="153">
        <v>88346</v>
      </c>
      <c r="O2132" s="153">
        <v>36780</v>
      </c>
      <c r="P2132" s="153">
        <v>65796</v>
      </c>
      <c r="Q2132" s="153">
        <v>2770</v>
      </c>
      <c r="R2132" s="153">
        <v>47296</v>
      </c>
      <c r="S2132" s="154">
        <v>10542</v>
      </c>
      <c r="T2132" s="154">
        <v>1213.7</v>
      </c>
      <c r="U2132" s="154">
        <v>59</v>
      </c>
      <c r="V2132" s="153">
        <v>143894</v>
      </c>
      <c r="W2132" s="153">
        <v>50345</v>
      </c>
      <c r="X2132" s="153">
        <v>46891</v>
      </c>
      <c r="Y2132" s="153">
        <v>92778</v>
      </c>
      <c r="Z2132" s="153">
        <v>86302</v>
      </c>
      <c r="AC2132" s="279" t="s">
        <v>216</v>
      </c>
      <c r="AD2132" s="303">
        <f t="shared" si="2512"/>
        <v>0</v>
      </c>
      <c r="AE2132" s="303">
        <f t="shared" si="2513"/>
        <v>0</v>
      </c>
    </row>
    <row r="2133" spans="1:31" ht="18" customHeight="1" x14ac:dyDescent="0.2">
      <c r="A2133" s="279">
        <f t="shared" si="2472"/>
        <v>44984</v>
      </c>
      <c r="B2133" s="280" t="s">
        <v>191</v>
      </c>
      <c r="C2133" s="299">
        <f t="shared" si="2505"/>
        <v>0</v>
      </c>
      <c r="D2133" s="300">
        <f t="shared" si="2506"/>
        <v>0</v>
      </c>
      <c r="E2133" s="301">
        <f t="shared" si="2507"/>
        <v>0</v>
      </c>
      <c r="F2133" s="301">
        <f t="shared" si="2508"/>
        <v>0</v>
      </c>
      <c r="G2133" s="302">
        <f t="shared" si="2509"/>
        <v>0</v>
      </c>
      <c r="H2133" s="199"/>
      <c r="I2133" s="199"/>
      <c r="J2133" s="200"/>
      <c r="K2133" s="201"/>
      <c r="L2133" s="276"/>
      <c r="M2133" s="276"/>
      <c r="N2133" s="153">
        <v>88346</v>
      </c>
      <c r="O2133" s="153">
        <v>36780</v>
      </c>
      <c r="P2133" s="153">
        <v>65796</v>
      </c>
      <c r="Q2133" s="153">
        <v>2770</v>
      </c>
      <c r="R2133" s="153">
        <v>47296</v>
      </c>
      <c r="S2133" s="154">
        <v>10542</v>
      </c>
      <c r="T2133" s="154">
        <v>1213.7</v>
      </c>
      <c r="U2133" s="154">
        <v>59</v>
      </c>
      <c r="V2133" s="153">
        <v>143894</v>
      </c>
      <c r="W2133" s="153">
        <v>50345</v>
      </c>
      <c r="X2133" s="153">
        <v>46891</v>
      </c>
      <c r="Y2133" s="153">
        <v>92778</v>
      </c>
      <c r="Z2133" s="153">
        <v>86302</v>
      </c>
      <c r="AC2133" s="279" t="s">
        <v>210</v>
      </c>
      <c r="AD2133" s="303">
        <f t="shared" si="2512"/>
        <v>0</v>
      </c>
      <c r="AE2133" s="303">
        <f t="shared" si="2513"/>
        <v>0</v>
      </c>
    </row>
    <row r="2134" spans="1:31" ht="18" customHeight="1" x14ac:dyDescent="0.2">
      <c r="A2134" s="279">
        <f t="shared" si="2472"/>
        <v>44985</v>
      </c>
      <c r="B2134" s="280" t="s">
        <v>192</v>
      </c>
      <c r="C2134" s="299">
        <f t="shared" si="2505"/>
        <v>2660</v>
      </c>
      <c r="D2134" s="300">
        <f t="shared" si="2506"/>
        <v>2016</v>
      </c>
      <c r="E2134" s="301">
        <f t="shared" si="2507"/>
        <v>2675.9999999999363</v>
      </c>
      <c r="F2134" s="301">
        <f t="shared" si="2508"/>
        <v>547</v>
      </c>
      <c r="G2134" s="302">
        <f t="shared" si="2509"/>
        <v>7898.9999999999363</v>
      </c>
      <c r="H2134" s="199"/>
      <c r="I2134" s="199"/>
      <c r="J2134" s="200"/>
      <c r="K2134" s="201"/>
      <c r="L2134" s="276"/>
      <c r="M2134" s="276"/>
      <c r="N2134" s="153">
        <v>88346</v>
      </c>
      <c r="O2134" s="153">
        <v>36780</v>
      </c>
      <c r="P2134" s="153">
        <v>65796</v>
      </c>
      <c r="Q2134" s="153">
        <v>2770</v>
      </c>
      <c r="R2134" s="153">
        <v>47296</v>
      </c>
      <c r="S2134" s="154">
        <v>10542</v>
      </c>
      <c r="T2134" s="154">
        <v>1213.7</v>
      </c>
      <c r="U2134" s="154">
        <v>59</v>
      </c>
      <c r="V2134" s="153">
        <v>143894</v>
      </c>
      <c r="W2134" s="153">
        <v>50345</v>
      </c>
      <c r="X2134" s="153">
        <v>46891</v>
      </c>
      <c r="Y2134" s="153">
        <v>92778</v>
      </c>
      <c r="Z2134" s="153">
        <v>86302</v>
      </c>
      <c r="AC2134" s="279" t="s">
        <v>211</v>
      </c>
      <c r="AD2134" s="303">
        <f t="shared" si="2512"/>
        <v>368</v>
      </c>
      <c r="AE2134" s="303">
        <f t="shared" si="2513"/>
        <v>1944</v>
      </c>
    </row>
    <row r="2135" spans="1:31" ht="18" customHeight="1" x14ac:dyDescent="0.2">
      <c r="A2135" s="279">
        <f t="shared" si="2472"/>
        <v>44986</v>
      </c>
      <c r="B2135" s="280" t="s">
        <v>193</v>
      </c>
      <c r="C2135" s="299">
        <f t="shared" ref="C2135:C2139" si="2514">(V2136-V2135)*1+(W2136-W2135)*32+(X2136-X2135)*12+(Y2136-Y2135)*6</f>
        <v>1906</v>
      </c>
      <c r="D2135" s="300">
        <f t="shared" ref="D2135:D2139" si="2515">(N2136-N2135)*8+(P2136-P2135)*8+(R2136-R2135)*1</f>
        <v>864</v>
      </c>
      <c r="E2135" s="301">
        <f t="shared" ref="E2135:E2139" si="2516">(S2136-S2135)*80+(T2136-T2135)*40+(U2136-U2135)*80</f>
        <v>1888.0000000000052</v>
      </c>
      <c r="F2135" s="301">
        <f t="shared" ref="F2135:F2139" si="2517">(Z2136-Z2135)*1</f>
        <v>123</v>
      </c>
      <c r="G2135" s="302">
        <f t="shared" ref="G2135:G2139" si="2518">C2135+D2135+F2135+E2135</f>
        <v>4781.0000000000055</v>
      </c>
      <c r="H2135" s="199"/>
      <c r="I2135" s="199"/>
      <c r="J2135" s="200"/>
      <c r="K2135" s="201"/>
      <c r="L2135" s="276"/>
      <c r="M2135" s="276"/>
      <c r="N2135" s="235">
        <v>88552</v>
      </c>
      <c r="O2135" s="235">
        <v>36877</v>
      </c>
      <c r="P2135" s="235">
        <v>65842</v>
      </c>
      <c r="Q2135" s="235">
        <v>3013</v>
      </c>
      <c r="R2135" s="235">
        <v>47296</v>
      </c>
      <c r="S2135" s="236">
        <v>10568.8</v>
      </c>
      <c r="T2135" s="236">
        <v>1216.5999999999999</v>
      </c>
      <c r="U2135" s="236">
        <v>64.2</v>
      </c>
      <c r="V2135" s="235">
        <v>144510</v>
      </c>
      <c r="W2135" s="235">
        <v>50392</v>
      </c>
      <c r="X2135" s="235">
        <v>46936</v>
      </c>
      <c r="Y2135" s="235">
        <v>92778</v>
      </c>
      <c r="Z2135" s="235">
        <v>86849</v>
      </c>
      <c r="AC2135" s="279" t="s">
        <v>212</v>
      </c>
      <c r="AD2135" s="303">
        <f t="shared" ref="AD2135:AD2139" si="2519">(P2136-P2135)*8</f>
        <v>120</v>
      </c>
      <c r="AE2135" s="303">
        <f t="shared" ref="AE2135:AE2139" si="2520">(Q2136-Q2135)*8</f>
        <v>464</v>
      </c>
    </row>
    <row r="2136" spans="1:31" ht="18" customHeight="1" x14ac:dyDescent="0.2">
      <c r="A2136" s="279">
        <f t="shared" si="2472"/>
        <v>44987</v>
      </c>
      <c r="B2136" s="280" t="s">
        <v>194</v>
      </c>
      <c r="C2136" s="299">
        <f t="shared" si="2514"/>
        <v>1866</v>
      </c>
      <c r="D2136" s="300">
        <f t="shared" si="2515"/>
        <v>984</v>
      </c>
      <c r="E2136" s="301">
        <f t="shared" si="2516"/>
        <v>1796.0000000000286</v>
      </c>
      <c r="F2136" s="301">
        <f t="shared" si="2517"/>
        <v>129</v>
      </c>
      <c r="G2136" s="302">
        <f t="shared" si="2518"/>
        <v>4775.0000000000291</v>
      </c>
      <c r="H2136" s="199"/>
      <c r="I2136" s="199"/>
      <c r="J2136" s="200"/>
      <c r="K2136" s="201"/>
      <c r="L2136" s="276"/>
      <c r="M2136" s="276"/>
      <c r="N2136" s="235">
        <v>88645</v>
      </c>
      <c r="O2136" s="235">
        <v>36910</v>
      </c>
      <c r="P2136" s="235">
        <v>65857</v>
      </c>
      <c r="Q2136" s="235">
        <v>3071</v>
      </c>
      <c r="R2136" s="235">
        <v>47296</v>
      </c>
      <c r="S2136" s="236">
        <v>10585.8</v>
      </c>
      <c r="T2136" s="236">
        <v>1217.2</v>
      </c>
      <c r="U2136" s="236">
        <v>70.5</v>
      </c>
      <c r="V2136" s="235">
        <v>144684</v>
      </c>
      <c r="W2136" s="235">
        <v>50418</v>
      </c>
      <c r="X2136" s="235">
        <v>47011</v>
      </c>
      <c r="Y2136" s="235">
        <v>92778</v>
      </c>
      <c r="Z2136" s="235">
        <v>86972</v>
      </c>
      <c r="AC2136" s="279" t="s">
        <v>213</v>
      </c>
      <c r="AD2136" s="303">
        <f t="shared" si="2519"/>
        <v>128</v>
      </c>
      <c r="AE2136" s="303">
        <f t="shared" si="2520"/>
        <v>488</v>
      </c>
    </row>
    <row r="2137" spans="1:31" ht="18" customHeight="1" x14ac:dyDescent="0.2">
      <c r="A2137" s="279">
        <f t="shared" si="2472"/>
        <v>44988</v>
      </c>
      <c r="B2137" s="278" t="s">
        <v>189</v>
      </c>
      <c r="C2137" s="299">
        <f t="shared" si="2514"/>
        <v>0</v>
      </c>
      <c r="D2137" s="300">
        <f t="shared" si="2515"/>
        <v>0</v>
      </c>
      <c r="E2137" s="301">
        <f t="shared" si="2516"/>
        <v>0</v>
      </c>
      <c r="F2137" s="301">
        <f t="shared" si="2517"/>
        <v>0</v>
      </c>
      <c r="G2137" s="302">
        <f t="shared" si="2518"/>
        <v>0</v>
      </c>
      <c r="H2137" s="199"/>
      <c r="I2137" s="199"/>
      <c r="J2137" s="200"/>
      <c r="K2137" s="201"/>
      <c r="L2137" s="276"/>
      <c r="M2137" s="276"/>
      <c r="N2137" s="235">
        <v>88752</v>
      </c>
      <c r="O2137" s="235">
        <v>36950</v>
      </c>
      <c r="P2137" s="235">
        <v>65873</v>
      </c>
      <c r="Q2137" s="235">
        <v>3132</v>
      </c>
      <c r="R2137" s="235">
        <v>47296</v>
      </c>
      <c r="S2137" s="236">
        <v>10603.4</v>
      </c>
      <c r="T2137" s="236">
        <v>1217.7</v>
      </c>
      <c r="U2137" s="236">
        <v>75.099999999999994</v>
      </c>
      <c r="V2137" s="235">
        <v>144842</v>
      </c>
      <c r="W2137" s="235">
        <v>50444</v>
      </c>
      <c r="X2137" s="235">
        <v>47084</v>
      </c>
      <c r="Y2137" s="235">
        <v>92778</v>
      </c>
      <c r="Z2137" s="235">
        <v>87101</v>
      </c>
      <c r="AC2137" s="279" t="s">
        <v>214</v>
      </c>
      <c r="AD2137" s="303">
        <f t="shared" si="2519"/>
        <v>0</v>
      </c>
      <c r="AE2137" s="303">
        <f t="shared" si="2520"/>
        <v>0</v>
      </c>
    </row>
    <row r="2138" spans="1:31" ht="18" customHeight="1" x14ac:dyDescent="0.2">
      <c r="A2138" s="279">
        <f t="shared" si="2472"/>
        <v>44989</v>
      </c>
      <c r="B2138" s="279" t="s">
        <v>195</v>
      </c>
      <c r="C2138" s="299">
        <f t="shared" si="2514"/>
        <v>0</v>
      </c>
      <c r="D2138" s="300">
        <f t="shared" si="2515"/>
        <v>0</v>
      </c>
      <c r="E2138" s="301">
        <f t="shared" si="2516"/>
        <v>0</v>
      </c>
      <c r="F2138" s="301">
        <f t="shared" si="2517"/>
        <v>0</v>
      </c>
      <c r="G2138" s="302">
        <f t="shared" si="2518"/>
        <v>0</v>
      </c>
      <c r="H2138" s="199"/>
      <c r="I2138" s="199"/>
      <c r="J2138" s="200"/>
      <c r="K2138" s="201"/>
      <c r="L2138" s="276"/>
      <c r="M2138" s="276"/>
      <c r="N2138" s="288">
        <v>88752</v>
      </c>
      <c r="O2138" s="288">
        <v>36950</v>
      </c>
      <c r="P2138" s="288">
        <v>65873</v>
      </c>
      <c r="Q2138" s="288">
        <v>3132</v>
      </c>
      <c r="R2138" s="288">
        <v>47296</v>
      </c>
      <c r="S2138" s="289">
        <v>10603.4</v>
      </c>
      <c r="T2138" s="289">
        <v>1217.7</v>
      </c>
      <c r="U2138" s="289">
        <v>75.099999999999994</v>
      </c>
      <c r="V2138" s="288">
        <v>144842</v>
      </c>
      <c r="W2138" s="288">
        <v>50444</v>
      </c>
      <c r="X2138" s="288">
        <v>47084</v>
      </c>
      <c r="Y2138" s="288">
        <v>92778</v>
      </c>
      <c r="Z2138" s="288">
        <v>87101</v>
      </c>
      <c r="AC2138" s="279" t="s">
        <v>215</v>
      </c>
      <c r="AD2138" s="303">
        <f t="shared" si="2519"/>
        <v>0</v>
      </c>
      <c r="AE2138" s="303">
        <f t="shared" si="2520"/>
        <v>0</v>
      </c>
    </row>
    <row r="2139" spans="1:31" ht="18" customHeight="1" x14ac:dyDescent="0.2">
      <c r="A2139" s="279">
        <f t="shared" si="2472"/>
        <v>44990</v>
      </c>
      <c r="B2139" s="278" t="s">
        <v>190</v>
      </c>
      <c r="C2139" s="299">
        <f t="shared" si="2514"/>
        <v>2307</v>
      </c>
      <c r="D2139" s="300">
        <f t="shared" si="2515"/>
        <v>864</v>
      </c>
      <c r="E2139" s="301">
        <f t="shared" si="2516"/>
        <v>2392.0000000000882</v>
      </c>
      <c r="F2139" s="301">
        <f t="shared" si="2517"/>
        <v>359</v>
      </c>
      <c r="G2139" s="302">
        <f t="shared" si="2518"/>
        <v>5922.0000000000882</v>
      </c>
      <c r="H2139" s="199"/>
      <c r="I2139" s="199"/>
      <c r="J2139" s="200"/>
      <c r="K2139" s="201"/>
      <c r="L2139" s="276"/>
      <c r="M2139" s="276"/>
      <c r="N2139" s="288">
        <v>88752</v>
      </c>
      <c r="O2139" s="288">
        <v>36950</v>
      </c>
      <c r="P2139" s="288">
        <v>65873</v>
      </c>
      <c r="Q2139" s="288">
        <v>3132</v>
      </c>
      <c r="R2139" s="288">
        <v>47296</v>
      </c>
      <c r="S2139" s="289">
        <v>10603.4</v>
      </c>
      <c r="T2139" s="289">
        <v>1217.7</v>
      </c>
      <c r="U2139" s="289">
        <v>75.099999999999994</v>
      </c>
      <c r="V2139" s="288">
        <v>144842</v>
      </c>
      <c r="W2139" s="288">
        <v>50444</v>
      </c>
      <c r="X2139" s="288">
        <v>47084</v>
      </c>
      <c r="Y2139" s="288">
        <v>92778</v>
      </c>
      <c r="Z2139" s="288">
        <v>87101</v>
      </c>
      <c r="AC2139" s="279" t="s">
        <v>216</v>
      </c>
      <c r="AD2139" s="303">
        <f t="shared" si="2519"/>
        <v>104</v>
      </c>
      <c r="AE2139" s="303">
        <f t="shared" si="2520"/>
        <v>464</v>
      </c>
    </row>
    <row r="2140" spans="1:31" ht="18" customHeight="1" x14ac:dyDescent="0.2">
      <c r="A2140" s="279">
        <f t="shared" si="2472"/>
        <v>44991</v>
      </c>
      <c r="B2140" s="280" t="s">
        <v>191</v>
      </c>
      <c r="C2140" s="299">
        <f t="shared" ref="C2140:C2141" si="2521">(V2141-V2140)*1+(W2141-W2140)*32+(X2141-X2140)*12+(Y2141-Y2140)*6</f>
        <v>1978</v>
      </c>
      <c r="D2140" s="300">
        <f t="shared" ref="D2140:D2141" si="2522">(N2141-N2140)*8+(P2141-P2140)*8+(R2141-R2140)*1</f>
        <v>968</v>
      </c>
      <c r="E2140" s="301">
        <f t="shared" ref="E2140:E2141" si="2523">(S2141-S2140)*80+(T2141-T2140)*40+(U2141-U2140)*80</f>
        <v>1831.9999999999948</v>
      </c>
      <c r="F2140" s="301">
        <f t="shared" ref="F2140:F2141" si="2524">(Z2141-Z2140)*1</f>
        <v>100</v>
      </c>
      <c r="G2140" s="302">
        <f t="shared" ref="G2140:G2141" si="2525">C2140+D2140+F2140+E2140</f>
        <v>4877.9999999999945</v>
      </c>
      <c r="H2140" s="199"/>
      <c r="I2140" s="199"/>
      <c r="J2140" s="200"/>
      <c r="K2140" s="201"/>
      <c r="L2140" s="276"/>
      <c r="M2140" s="276"/>
      <c r="N2140" s="235">
        <v>88847</v>
      </c>
      <c r="O2140" s="235">
        <v>36982</v>
      </c>
      <c r="P2140" s="235">
        <v>65886</v>
      </c>
      <c r="Q2140" s="235">
        <v>3190</v>
      </c>
      <c r="R2140" s="235">
        <v>47296</v>
      </c>
      <c r="S2140" s="236">
        <v>10627.7</v>
      </c>
      <c r="T2140" s="236">
        <v>1218.7</v>
      </c>
      <c r="U2140" s="236">
        <v>80.2</v>
      </c>
      <c r="V2140" s="235">
        <v>145233</v>
      </c>
      <c r="W2140" s="235">
        <v>50481</v>
      </c>
      <c r="X2140" s="235">
        <v>47145</v>
      </c>
      <c r="Y2140" s="235">
        <v>92778</v>
      </c>
      <c r="Z2140" s="235">
        <v>87460</v>
      </c>
      <c r="AC2140" s="279" t="s">
        <v>210</v>
      </c>
      <c r="AD2140" s="303">
        <f t="shared" ref="AD2140:AD2146" si="2526">(P2141-P2140)*8</f>
        <v>120</v>
      </c>
      <c r="AE2140" s="303">
        <f t="shared" ref="AE2140:AE2146" si="2527">(Q2141-Q2140)*8</f>
        <v>456</v>
      </c>
    </row>
    <row r="2141" spans="1:31" ht="18" customHeight="1" x14ac:dyDescent="0.2">
      <c r="A2141" s="279">
        <f t="shared" si="2472"/>
        <v>44992</v>
      </c>
      <c r="B2141" s="280" t="s">
        <v>192</v>
      </c>
      <c r="C2141" s="299">
        <f t="shared" si="2521"/>
        <v>1949</v>
      </c>
      <c r="D2141" s="300">
        <f t="shared" si="2522"/>
        <v>960</v>
      </c>
      <c r="E2141" s="301">
        <f t="shared" si="2523"/>
        <v>1115.9999999999411</v>
      </c>
      <c r="F2141" s="301">
        <f t="shared" si="2524"/>
        <v>96</v>
      </c>
      <c r="G2141" s="302">
        <f t="shared" si="2525"/>
        <v>4120.9999999999409</v>
      </c>
      <c r="H2141" s="199"/>
      <c r="I2141" s="199"/>
      <c r="J2141" s="200"/>
      <c r="K2141" s="201"/>
      <c r="L2141" s="276"/>
      <c r="M2141" s="276"/>
      <c r="N2141" s="235">
        <v>88953</v>
      </c>
      <c r="O2141" s="235">
        <v>37021</v>
      </c>
      <c r="P2141" s="235">
        <v>65901</v>
      </c>
      <c r="Q2141" s="235">
        <v>3247</v>
      </c>
      <c r="R2141" s="235">
        <v>47296</v>
      </c>
      <c r="S2141" s="236">
        <v>10643.7</v>
      </c>
      <c r="T2141" s="236">
        <v>1219.0999999999999</v>
      </c>
      <c r="U2141" s="236">
        <v>86.9</v>
      </c>
      <c r="V2141" s="235">
        <v>145407</v>
      </c>
      <c r="W2141" s="235">
        <v>50507</v>
      </c>
      <c r="X2141" s="235">
        <v>47226</v>
      </c>
      <c r="Y2141" s="235">
        <v>92778</v>
      </c>
      <c r="Z2141" s="235">
        <v>87560</v>
      </c>
      <c r="AC2141" s="279" t="s">
        <v>211</v>
      </c>
      <c r="AD2141" s="303">
        <f t="shared" si="2526"/>
        <v>120</v>
      </c>
      <c r="AE2141" s="303">
        <f t="shared" si="2527"/>
        <v>472</v>
      </c>
    </row>
    <row r="2142" spans="1:31" ht="18" customHeight="1" x14ac:dyDescent="0.2">
      <c r="A2142" s="279">
        <f t="shared" si="2472"/>
        <v>44993</v>
      </c>
      <c r="B2142" s="280" t="s">
        <v>193</v>
      </c>
      <c r="C2142" s="299">
        <f t="shared" ref="C2142:C2146" si="2528">(V2143-V2142)*1+(W2143-W2142)*32+(X2143-X2142)*12+(Y2143-Y2142)*6</f>
        <v>1792</v>
      </c>
      <c r="D2142" s="300">
        <f t="shared" ref="D2142:D2146" si="2529">(N2143-N2142)*8+(P2143-P2142)*8+(R2143-R2142)*1</f>
        <v>936</v>
      </c>
      <c r="E2142" s="301">
        <f t="shared" ref="E2142:E2146" si="2530">(S2143-S2142)*80+(T2143-T2142)*40+(U2143-U2142)*80</f>
        <v>784.0000000000623</v>
      </c>
      <c r="F2142" s="301">
        <f t="shared" ref="F2142:F2146" si="2531">(Z2143-Z2142)*1</f>
        <v>88</v>
      </c>
      <c r="G2142" s="302">
        <f t="shared" ref="G2142:G2146" si="2532">C2142+D2142+F2142+E2142</f>
        <v>3600.0000000000623</v>
      </c>
      <c r="H2142" s="199"/>
      <c r="I2142" s="199"/>
      <c r="J2142" s="200"/>
      <c r="K2142" s="201"/>
      <c r="L2142" s="276"/>
      <c r="M2142" s="276"/>
      <c r="N2142" s="235">
        <v>89058</v>
      </c>
      <c r="O2142" s="235">
        <v>37060</v>
      </c>
      <c r="P2142" s="235">
        <v>65916</v>
      </c>
      <c r="Q2142" s="235">
        <v>3306</v>
      </c>
      <c r="R2142" s="235">
        <v>47296</v>
      </c>
      <c r="S2142" s="236">
        <v>10653.5</v>
      </c>
      <c r="T2142" s="236">
        <v>1219.5999999999999</v>
      </c>
      <c r="U2142" s="236">
        <v>90.8</v>
      </c>
      <c r="V2142" s="235">
        <v>145596</v>
      </c>
      <c r="W2142" s="235">
        <v>50535</v>
      </c>
      <c r="X2142" s="235">
        <v>47298</v>
      </c>
      <c r="Y2142" s="235">
        <v>92778</v>
      </c>
      <c r="Z2142" s="235">
        <v>87656</v>
      </c>
      <c r="AC2142" s="279" t="s">
        <v>212</v>
      </c>
      <c r="AD2142" s="303">
        <f t="shared" si="2526"/>
        <v>120</v>
      </c>
      <c r="AE2142" s="303">
        <f t="shared" si="2527"/>
        <v>464</v>
      </c>
    </row>
    <row r="2143" spans="1:31" ht="18" customHeight="1" x14ac:dyDescent="0.2">
      <c r="A2143" s="279">
        <f t="shared" si="2472"/>
        <v>44994</v>
      </c>
      <c r="B2143" s="280" t="s">
        <v>194</v>
      </c>
      <c r="C2143" s="299">
        <f t="shared" si="2528"/>
        <v>1813</v>
      </c>
      <c r="D2143" s="300">
        <f t="shared" si="2529"/>
        <v>960</v>
      </c>
      <c r="E2143" s="301">
        <f t="shared" si="2530"/>
        <v>1687.999999999945</v>
      </c>
      <c r="F2143" s="301">
        <f t="shared" si="2531"/>
        <v>79</v>
      </c>
      <c r="G2143" s="302">
        <f t="shared" si="2532"/>
        <v>4539.9999999999454</v>
      </c>
      <c r="H2143" s="199"/>
      <c r="I2143" s="199"/>
      <c r="J2143" s="200"/>
      <c r="K2143" s="201"/>
      <c r="L2143" s="276"/>
      <c r="M2143" s="276"/>
      <c r="N2143" s="235">
        <v>89160</v>
      </c>
      <c r="O2143" s="235">
        <v>37099</v>
      </c>
      <c r="P2143" s="235">
        <v>65931</v>
      </c>
      <c r="Q2143" s="235">
        <v>3364</v>
      </c>
      <c r="R2143" s="235">
        <v>47296</v>
      </c>
      <c r="S2143" s="236">
        <v>10662.2</v>
      </c>
      <c r="T2143" s="236">
        <v>1220</v>
      </c>
      <c r="U2143" s="236">
        <v>91.7</v>
      </c>
      <c r="V2143" s="235">
        <v>145764</v>
      </c>
      <c r="W2143" s="235">
        <v>50561</v>
      </c>
      <c r="X2143" s="235">
        <v>47364</v>
      </c>
      <c r="Y2143" s="235">
        <v>92778</v>
      </c>
      <c r="Z2143" s="235">
        <v>87744</v>
      </c>
      <c r="AC2143" s="279" t="s">
        <v>213</v>
      </c>
      <c r="AD2143" s="303">
        <f t="shared" si="2526"/>
        <v>120</v>
      </c>
      <c r="AE2143" s="303">
        <f t="shared" si="2527"/>
        <v>464</v>
      </c>
    </row>
    <row r="2144" spans="1:31" ht="18" customHeight="1" x14ac:dyDescent="0.2">
      <c r="A2144" s="279">
        <f t="shared" si="2472"/>
        <v>44995</v>
      </c>
      <c r="B2144" s="278" t="s">
        <v>189</v>
      </c>
      <c r="C2144" s="299">
        <f t="shared" si="2528"/>
        <v>0</v>
      </c>
      <c r="D2144" s="300">
        <f t="shared" si="2529"/>
        <v>0</v>
      </c>
      <c r="E2144" s="301">
        <f t="shared" si="2530"/>
        <v>0</v>
      </c>
      <c r="F2144" s="301">
        <f t="shared" si="2531"/>
        <v>0</v>
      </c>
      <c r="G2144" s="302">
        <f t="shared" si="2532"/>
        <v>0</v>
      </c>
      <c r="H2144" s="199"/>
      <c r="I2144" s="199"/>
      <c r="J2144" s="200"/>
      <c r="K2144" s="201"/>
      <c r="L2144" s="276"/>
      <c r="M2144" s="276"/>
      <c r="N2144" s="235">
        <v>89265</v>
      </c>
      <c r="O2144" s="235">
        <v>37137</v>
      </c>
      <c r="P2144" s="235">
        <v>65946</v>
      </c>
      <c r="Q2144" s="235">
        <v>3422</v>
      </c>
      <c r="R2144" s="235">
        <v>47296</v>
      </c>
      <c r="S2144" s="236">
        <v>10679</v>
      </c>
      <c r="T2144" s="236">
        <v>1220.4000000000001</v>
      </c>
      <c r="U2144" s="236">
        <v>95.8</v>
      </c>
      <c r="V2144" s="235">
        <v>145945</v>
      </c>
      <c r="W2144" s="235">
        <v>50588</v>
      </c>
      <c r="X2144" s="235">
        <v>47428</v>
      </c>
      <c r="Y2144" s="235">
        <v>92778</v>
      </c>
      <c r="Z2144" s="235">
        <v>87823</v>
      </c>
      <c r="AC2144" s="279" t="s">
        <v>214</v>
      </c>
      <c r="AD2144" s="303">
        <f t="shared" si="2526"/>
        <v>0</v>
      </c>
      <c r="AE2144" s="303">
        <f t="shared" si="2527"/>
        <v>0</v>
      </c>
    </row>
    <row r="2145" spans="1:31" ht="18" customHeight="1" x14ac:dyDescent="0.2">
      <c r="A2145" s="279">
        <f t="shared" si="2472"/>
        <v>44996</v>
      </c>
      <c r="B2145" s="279" t="s">
        <v>195</v>
      </c>
      <c r="C2145" s="299">
        <f t="shared" si="2528"/>
        <v>0</v>
      </c>
      <c r="D2145" s="300">
        <f t="shared" si="2529"/>
        <v>0</v>
      </c>
      <c r="E2145" s="301">
        <f t="shared" si="2530"/>
        <v>0</v>
      </c>
      <c r="F2145" s="301">
        <f t="shared" si="2531"/>
        <v>0</v>
      </c>
      <c r="G2145" s="302">
        <f t="shared" si="2532"/>
        <v>0</v>
      </c>
      <c r="H2145" s="199"/>
      <c r="I2145" s="199"/>
      <c r="J2145" s="200"/>
      <c r="K2145" s="201"/>
      <c r="L2145" s="276"/>
      <c r="M2145" s="276"/>
      <c r="N2145" s="153">
        <v>89265</v>
      </c>
      <c r="O2145" s="153">
        <v>37137</v>
      </c>
      <c r="P2145" s="153">
        <v>65946</v>
      </c>
      <c r="Q2145" s="153">
        <v>3422</v>
      </c>
      <c r="R2145" s="153">
        <v>47296</v>
      </c>
      <c r="S2145" s="154">
        <v>10679</v>
      </c>
      <c r="T2145" s="154">
        <v>1220.4000000000001</v>
      </c>
      <c r="U2145" s="154">
        <v>95.8</v>
      </c>
      <c r="V2145" s="153">
        <v>145945</v>
      </c>
      <c r="W2145" s="153">
        <v>50588</v>
      </c>
      <c r="X2145" s="153">
        <v>47428</v>
      </c>
      <c r="Y2145" s="153">
        <v>92778</v>
      </c>
      <c r="Z2145" s="153">
        <v>87823</v>
      </c>
      <c r="AC2145" s="279" t="s">
        <v>215</v>
      </c>
      <c r="AD2145" s="303">
        <f t="shared" si="2526"/>
        <v>0</v>
      </c>
      <c r="AE2145" s="303">
        <f t="shared" si="2527"/>
        <v>0</v>
      </c>
    </row>
    <row r="2146" spans="1:31" ht="18" customHeight="1" x14ac:dyDescent="0.2">
      <c r="A2146" s="279">
        <f t="shared" si="2472"/>
        <v>44997</v>
      </c>
      <c r="B2146" s="278" t="s">
        <v>190</v>
      </c>
      <c r="C2146" s="299">
        <f t="shared" si="2528"/>
        <v>2473</v>
      </c>
      <c r="D2146" s="300">
        <f t="shared" si="2529"/>
        <v>888</v>
      </c>
      <c r="E2146" s="301">
        <f t="shared" si="2530"/>
        <v>2719.9999999999354</v>
      </c>
      <c r="F2146" s="301">
        <f t="shared" si="2531"/>
        <v>227</v>
      </c>
      <c r="G2146" s="302">
        <f t="shared" si="2532"/>
        <v>6307.9999999999354</v>
      </c>
      <c r="H2146" s="199"/>
      <c r="I2146" s="199"/>
      <c r="J2146" s="200"/>
      <c r="K2146" s="201"/>
      <c r="L2146" s="276"/>
      <c r="M2146" s="276"/>
      <c r="N2146" s="153">
        <v>89265</v>
      </c>
      <c r="O2146" s="153">
        <v>37137</v>
      </c>
      <c r="P2146" s="153">
        <v>65946</v>
      </c>
      <c r="Q2146" s="153">
        <v>3422</v>
      </c>
      <c r="R2146" s="153">
        <v>47296</v>
      </c>
      <c r="S2146" s="154">
        <v>10679</v>
      </c>
      <c r="T2146" s="154">
        <v>1220.4000000000001</v>
      </c>
      <c r="U2146" s="154">
        <v>95.8</v>
      </c>
      <c r="V2146" s="153">
        <v>145945</v>
      </c>
      <c r="W2146" s="153">
        <v>50588</v>
      </c>
      <c r="X2146" s="153">
        <v>47428</v>
      </c>
      <c r="Y2146" s="153">
        <v>92778</v>
      </c>
      <c r="Z2146" s="153">
        <v>87823</v>
      </c>
      <c r="AC2146" s="279" t="s">
        <v>216</v>
      </c>
      <c r="AD2146" s="303">
        <f t="shared" si="2526"/>
        <v>104</v>
      </c>
      <c r="AE2146" s="303">
        <f t="shared" si="2527"/>
        <v>448</v>
      </c>
    </row>
    <row r="2147" spans="1:31" ht="18" customHeight="1" x14ac:dyDescent="0.2">
      <c r="A2147" s="279">
        <f t="shared" si="2472"/>
        <v>44998</v>
      </c>
      <c r="B2147" s="280" t="s">
        <v>191</v>
      </c>
      <c r="C2147" s="299">
        <f t="shared" ref="C2147:C2153" si="2533">(V2148-V2147)*1+(W2148-W2147)*32+(X2148-X2147)*12+(Y2148-Y2147)*6</f>
        <v>2195</v>
      </c>
      <c r="D2147" s="300">
        <f t="shared" ref="D2147:D2153" si="2534">(N2148-N2147)*8+(P2148-P2147)*8+(R2148-R2147)*1</f>
        <v>1008</v>
      </c>
      <c r="E2147" s="301">
        <f t="shared" ref="E2147:E2153" si="2535">(S2148-S2147)*80+(T2148-T2147)*40+(U2148-U2147)*80</f>
        <v>1776.0000000000321</v>
      </c>
      <c r="F2147" s="301">
        <f t="shared" ref="F2147:F2153" si="2536">(Z2148-Z2147)*1</f>
        <v>144</v>
      </c>
      <c r="G2147" s="302">
        <f t="shared" ref="G2147:G2153" si="2537">C2147+D2147+F2147+E2147</f>
        <v>5123.0000000000318</v>
      </c>
      <c r="H2147" s="199"/>
      <c r="I2147" s="199"/>
      <c r="J2147" s="200"/>
      <c r="K2147" s="201"/>
      <c r="L2147" s="276"/>
      <c r="M2147" s="276"/>
      <c r="N2147" s="235">
        <v>89363</v>
      </c>
      <c r="O2147" s="235">
        <v>37173</v>
      </c>
      <c r="P2147" s="235">
        <v>65959</v>
      </c>
      <c r="Q2147" s="235">
        <v>3478</v>
      </c>
      <c r="R2147" s="235">
        <v>47296</v>
      </c>
      <c r="S2147" s="236">
        <v>10704.3</v>
      </c>
      <c r="T2147" s="236">
        <v>1221.5999999999999</v>
      </c>
      <c r="U2147" s="236">
        <v>103.9</v>
      </c>
      <c r="V2147" s="235">
        <v>146482</v>
      </c>
      <c r="W2147" s="235">
        <v>50626</v>
      </c>
      <c r="X2147" s="235">
        <v>47488</v>
      </c>
      <c r="Y2147" s="235">
        <v>92778</v>
      </c>
      <c r="Z2147" s="235">
        <v>88050</v>
      </c>
      <c r="AC2147" s="279" t="s">
        <v>210</v>
      </c>
      <c r="AD2147" s="303">
        <f t="shared" ref="AD2147:AD2161" si="2538">(P2148-P2147)*8</f>
        <v>120</v>
      </c>
      <c r="AE2147" s="303">
        <f t="shared" ref="AE2147:AE2161" si="2539">(Q2148-Q2147)*8</f>
        <v>472</v>
      </c>
    </row>
    <row r="2148" spans="1:31" ht="18" customHeight="1" x14ac:dyDescent="0.2">
      <c r="A2148" s="279">
        <f t="shared" si="2472"/>
        <v>44999</v>
      </c>
      <c r="B2148" s="280" t="s">
        <v>192</v>
      </c>
      <c r="C2148" s="299">
        <f t="shared" si="2533"/>
        <v>1641</v>
      </c>
      <c r="D2148" s="300">
        <f t="shared" si="2534"/>
        <v>992</v>
      </c>
      <c r="E2148" s="301">
        <f t="shared" si="2535"/>
        <v>1720.0000000000625</v>
      </c>
      <c r="F2148" s="301">
        <f t="shared" si="2536"/>
        <v>114</v>
      </c>
      <c r="G2148" s="302">
        <f t="shared" si="2537"/>
        <v>4467.0000000000628</v>
      </c>
      <c r="H2148" s="199"/>
      <c r="I2148" s="199"/>
      <c r="J2148" s="200"/>
      <c r="K2148" s="201"/>
      <c r="L2148" s="276"/>
      <c r="M2148" s="276"/>
      <c r="N2148" s="235">
        <v>89474</v>
      </c>
      <c r="O2148" s="235">
        <v>37214</v>
      </c>
      <c r="P2148" s="235">
        <v>65974</v>
      </c>
      <c r="Q2148" s="235">
        <v>3537</v>
      </c>
      <c r="R2148" s="235">
        <v>47296</v>
      </c>
      <c r="S2148" s="236">
        <v>10722.4</v>
      </c>
      <c r="T2148" s="236">
        <v>1222</v>
      </c>
      <c r="U2148" s="236">
        <v>107.8</v>
      </c>
      <c r="V2148" s="235">
        <v>146645</v>
      </c>
      <c r="W2148" s="235">
        <v>50652</v>
      </c>
      <c r="X2148" s="235">
        <v>47588</v>
      </c>
      <c r="Y2148" s="235">
        <v>92778</v>
      </c>
      <c r="Z2148" s="235">
        <v>88194</v>
      </c>
      <c r="AC2148" s="279" t="s">
        <v>211</v>
      </c>
      <c r="AD2148" s="303">
        <f t="shared" si="2538"/>
        <v>120</v>
      </c>
      <c r="AE2148" s="303">
        <f t="shared" si="2539"/>
        <v>464</v>
      </c>
    </row>
    <row r="2149" spans="1:31" ht="18" customHeight="1" x14ac:dyDescent="0.2">
      <c r="A2149" s="279">
        <f t="shared" si="2472"/>
        <v>45000</v>
      </c>
      <c r="B2149" s="280" t="s">
        <v>193</v>
      </c>
      <c r="C2149" s="299">
        <f t="shared" si="2533"/>
        <v>1602</v>
      </c>
      <c r="D2149" s="300">
        <f t="shared" si="2534"/>
        <v>968</v>
      </c>
      <c r="E2149" s="301">
        <f t="shared" si="2535"/>
        <v>1551.9999999999357</v>
      </c>
      <c r="F2149" s="301">
        <f t="shared" si="2536"/>
        <v>85</v>
      </c>
      <c r="G2149" s="302">
        <f t="shared" si="2537"/>
        <v>4206.9999999999354</v>
      </c>
      <c r="H2149" s="199"/>
      <c r="I2149" s="199"/>
      <c r="J2149" s="200"/>
      <c r="K2149" s="201"/>
      <c r="L2149" s="276"/>
      <c r="M2149" s="276"/>
      <c r="N2149" s="235">
        <v>89583</v>
      </c>
      <c r="O2149" s="235">
        <v>37254</v>
      </c>
      <c r="P2149" s="235">
        <v>65989</v>
      </c>
      <c r="Q2149" s="235">
        <v>3595</v>
      </c>
      <c r="R2149" s="235">
        <v>47296</v>
      </c>
      <c r="S2149" s="236">
        <v>10739.1</v>
      </c>
      <c r="T2149" s="236">
        <v>1222.4000000000001</v>
      </c>
      <c r="U2149" s="236">
        <v>112.4</v>
      </c>
      <c r="V2149" s="235">
        <v>146806</v>
      </c>
      <c r="W2149" s="235">
        <v>50678</v>
      </c>
      <c r="X2149" s="235">
        <v>47642</v>
      </c>
      <c r="Y2149" s="235">
        <v>92778</v>
      </c>
      <c r="Z2149" s="235">
        <v>88308</v>
      </c>
      <c r="AC2149" s="279" t="s">
        <v>212</v>
      </c>
      <c r="AD2149" s="303">
        <f t="shared" si="2538"/>
        <v>120</v>
      </c>
      <c r="AE2149" s="303">
        <f t="shared" si="2539"/>
        <v>464</v>
      </c>
    </row>
    <row r="2150" spans="1:31" ht="18" customHeight="1" x14ac:dyDescent="0.2">
      <c r="A2150" s="279">
        <f t="shared" si="2472"/>
        <v>45001</v>
      </c>
      <c r="B2150" s="280" t="s">
        <v>194</v>
      </c>
      <c r="C2150" s="299">
        <f t="shared" si="2533"/>
        <v>1939</v>
      </c>
      <c r="D2150" s="300">
        <f t="shared" si="2534"/>
        <v>912</v>
      </c>
      <c r="E2150" s="301">
        <f t="shared" si="2535"/>
        <v>1400.0000000000909</v>
      </c>
      <c r="F2150" s="301">
        <f t="shared" si="2536"/>
        <v>78</v>
      </c>
      <c r="G2150" s="302">
        <f t="shared" si="2537"/>
        <v>4329.0000000000909</v>
      </c>
      <c r="H2150" s="199"/>
      <c r="I2150" s="199"/>
      <c r="J2150" s="200"/>
      <c r="K2150" s="201"/>
      <c r="L2150" s="276"/>
      <c r="M2150" s="276"/>
      <c r="N2150" s="235">
        <v>89689</v>
      </c>
      <c r="O2150" s="235">
        <v>37294</v>
      </c>
      <c r="P2150" s="235">
        <v>66004</v>
      </c>
      <c r="Q2150" s="235">
        <v>3653</v>
      </c>
      <c r="R2150" s="235">
        <v>47296</v>
      </c>
      <c r="S2150" s="236">
        <v>10754.4</v>
      </c>
      <c r="T2150" s="236">
        <v>1222.8</v>
      </c>
      <c r="U2150" s="236">
        <v>116.3</v>
      </c>
      <c r="V2150" s="235">
        <v>146960</v>
      </c>
      <c r="W2150" s="235">
        <v>50703</v>
      </c>
      <c r="X2150" s="235">
        <v>47696</v>
      </c>
      <c r="Y2150" s="235">
        <v>92778</v>
      </c>
      <c r="Z2150" s="235">
        <v>88393</v>
      </c>
      <c r="AC2150" s="279" t="s">
        <v>213</v>
      </c>
      <c r="AD2150" s="303">
        <f t="shared" si="2538"/>
        <v>112</v>
      </c>
      <c r="AE2150" s="303">
        <f t="shared" si="2539"/>
        <v>440</v>
      </c>
    </row>
    <row r="2151" spans="1:31" ht="18" customHeight="1" x14ac:dyDescent="0.2">
      <c r="A2151" s="279">
        <f t="shared" si="2472"/>
        <v>45002</v>
      </c>
      <c r="B2151" s="278" t="s">
        <v>189</v>
      </c>
      <c r="C2151" s="299">
        <f t="shared" si="2533"/>
        <v>0</v>
      </c>
      <c r="D2151" s="300">
        <f t="shared" si="2534"/>
        <v>0</v>
      </c>
      <c r="E2151" s="301">
        <f t="shared" si="2535"/>
        <v>0</v>
      </c>
      <c r="F2151" s="301">
        <f t="shared" si="2536"/>
        <v>0</v>
      </c>
      <c r="G2151" s="302">
        <f t="shared" si="2537"/>
        <v>0</v>
      </c>
      <c r="H2151" s="199"/>
      <c r="I2151" s="199"/>
      <c r="J2151" s="200"/>
      <c r="K2151" s="201"/>
      <c r="L2151" s="276"/>
      <c r="M2151" s="276"/>
      <c r="N2151" s="235">
        <v>89789</v>
      </c>
      <c r="O2151" s="235">
        <v>37331</v>
      </c>
      <c r="P2151" s="235">
        <v>66018</v>
      </c>
      <c r="Q2151" s="235">
        <v>3708</v>
      </c>
      <c r="R2151" s="235">
        <v>47296</v>
      </c>
      <c r="S2151" s="236">
        <v>10769.7</v>
      </c>
      <c r="T2151" s="236">
        <v>1223.2</v>
      </c>
      <c r="U2151" s="236">
        <v>118.3</v>
      </c>
      <c r="V2151" s="235">
        <v>147127</v>
      </c>
      <c r="W2151" s="235">
        <v>50737</v>
      </c>
      <c r="X2151" s="235">
        <v>47753</v>
      </c>
      <c r="Y2151" s="235">
        <v>92778</v>
      </c>
      <c r="Z2151" s="235">
        <v>88471</v>
      </c>
      <c r="AC2151" s="279" t="s">
        <v>214</v>
      </c>
      <c r="AD2151" s="303">
        <f t="shared" si="2538"/>
        <v>0</v>
      </c>
      <c r="AE2151" s="303">
        <f t="shared" si="2539"/>
        <v>0</v>
      </c>
    </row>
    <row r="2152" spans="1:31" ht="18" customHeight="1" x14ac:dyDescent="0.2">
      <c r="A2152" s="279">
        <f t="shared" ref="A2152:A2215" si="2540">A2151+1</f>
        <v>45003</v>
      </c>
      <c r="B2152" s="279" t="s">
        <v>195</v>
      </c>
      <c r="C2152" s="299">
        <f t="shared" si="2533"/>
        <v>0</v>
      </c>
      <c r="D2152" s="300">
        <f t="shared" si="2534"/>
        <v>0</v>
      </c>
      <c r="E2152" s="301">
        <f t="shared" si="2535"/>
        <v>0</v>
      </c>
      <c r="F2152" s="301">
        <f t="shared" si="2536"/>
        <v>0</v>
      </c>
      <c r="G2152" s="302">
        <f t="shared" si="2537"/>
        <v>0</v>
      </c>
      <c r="H2152" s="199"/>
      <c r="I2152" s="199"/>
      <c r="J2152" s="200"/>
      <c r="K2152" s="201"/>
      <c r="L2152" s="276"/>
      <c r="M2152" s="276"/>
      <c r="N2152" s="288">
        <v>89789</v>
      </c>
      <c r="O2152" s="288">
        <v>37331</v>
      </c>
      <c r="P2152" s="288">
        <v>66018</v>
      </c>
      <c r="Q2152" s="288">
        <v>3708</v>
      </c>
      <c r="R2152" s="288">
        <v>47296</v>
      </c>
      <c r="S2152" s="289">
        <v>10769.7</v>
      </c>
      <c r="T2152" s="289">
        <v>1223.2</v>
      </c>
      <c r="U2152" s="289">
        <v>118.3</v>
      </c>
      <c r="V2152" s="288">
        <v>147127</v>
      </c>
      <c r="W2152" s="288">
        <v>50737</v>
      </c>
      <c r="X2152" s="288">
        <v>47753</v>
      </c>
      <c r="Y2152" s="288">
        <v>92778</v>
      </c>
      <c r="Z2152" s="288">
        <v>88471</v>
      </c>
      <c r="AC2152" s="279" t="s">
        <v>215</v>
      </c>
      <c r="AD2152" s="303">
        <f t="shared" si="2538"/>
        <v>0</v>
      </c>
      <c r="AE2152" s="303">
        <f t="shared" si="2539"/>
        <v>0</v>
      </c>
    </row>
    <row r="2153" spans="1:31" ht="18" customHeight="1" x14ac:dyDescent="0.2">
      <c r="A2153" s="279">
        <f t="shared" si="2540"/>
        <v>45004</v>
      </c>
      <c r="B2153" s="278" t="s">
        <v>190</v>
      </c>
      <c r="C2153" s="299">
        <f t="shared" si="2533"/>
        <v>2594</v>
      </c>
      <c r="D2153" s="300">
        <f t="shared" si="2534"/>
        <v>736</v>
      </c>
      <c r="E2153" s="301">
        <f t="shared" si="2535"/>
        <v>2667.9999999999372</v>
      </c>
      <c r="F2153" s="301">
        <f t="shared" si="2536"/>
        <v>254</v>
      </c>
      <c r="G2153" s="302">
        <f t="shared" si="2537"/>
        <v>6251.9999999999372</v>
      </c>
      <c r="H2153" s="199"/>
      <c r="I2153" s="199"/>
      <c r="J2153" s="200"/>
      <c r="K2153" s="201"/>
      <c r="L2153" s="276"/>
      <c r="M2153" s="276"/>
      <c r="N2153" s="288">
        <v>89789</v>
      </c>
      <c r="O2153" s="288">
        <v>37331</v>
      </c>
      <c r="P2153" s="288">
        <v>66018</v>
      </c>
      <c r="Q2153" s="288">
        <v>3708</v>
      </c>
      <c r="R2153" s="288">
        <v>47296</v>
      </c>
      <c r="S2153" s="289">
        <v>10769.7</v>
      </c>
      <c r="T2153" s="289">
        <v>1223.2</v>
      </c>
      <c r="U2153" s="289">
        <v>118.3</v>
      </c>
      <c r="V2153" s="288">
        <v>147127</v>
      </c>
      <c r="W2153" s="288">
        <v>50737</v>
      </c>
      <c r="X2153" s="288">
        <v>47753</v>
      </c>
      <c r="Y2153" s="288">
        <v>92778</v>
      </c>
      <c r="Z2153" s="288">
        <v>88471</v>
      </c>
      <c r="AC2153" s="279" t="s">
        <v>216</v>
      </c>
      <c r="AD2153" s="303">
        <f t="shared" si="2538"/>
        <v>96</v>
      </c>
      <c r="AE2153" s="303">
        <f t="shared" si="2539"/>
        <v>408</v>
      </c>
    </row>
    <row r="2154" spans="1:31" ht="18" customHeight="1" x14ac:dyDescent="0.2">
      <c r="A2154" s="279">
        <f t="shared" si="2540"/>
        <v>45005</v>
      </c>
      <c r="B2154" s="280" t="s">
        <v>191</v>
      </c>
      <c r="C2154" s="299">
        <f t="shared" ref="C2154:C2161" si="2541">(V2155-V2154)*1+(W2155-W2154)*32+(X2155-X2154)*12+(Y2155-Y2154)*6</f>
        <v>2089</v>
      </c>
      <c r="D2154" s="300">
        <f t="shared" ref="D2154:D2161" si="2542">(N2155-N2154)*8+(P2155-P2154)*8+(R2155-R2154)*1</f>
        <v>688</v>
      </c>
      <c r="E2154" s="301">
        <f t="shared" ref="E2154:E2161" si="2543">(S2155-S2154)*80+(T2155-T2154)*40+(U2155-U2154)*80</f>
        <v>1607.999999999945</v>
      </c>
      <c r="F2154" s="301">
        <f t="shared" ref="F2154:F2161" si="2544">(Z2155-Z2154)*1</f>
        <v>86</v>
      </c>
      <c r="G2154" s="302">
        <f t="shared" ref="G2154:G2161" si="2545">C2154+D2154+F2154+E2154</f>
        <v>4470.9999999999454</v>
      </c>
      <c r="H2154" s="199"/>
      <c r="I2154" s="199"/>
      <c r="J2154" s="200"/>
      <c r="K2154" s="201"/>
      <c r="L2154" s="276"/>
      <c r="M2154" s="276"/>
      <c r="N2154" s="235">
        <v>89869</v>
      </c>
      <c r="O2154" s="235">
        <v>37362</v>
      </c>
      <c r="P2154" s="235">
        <v>66030</v>
      </c>
      <c r="Q2154" s="235">
        <v>3759</v>
      </c>
      <c r="R2154" s="235">
        <v>47296</v>
      </c>
      <c r="S2154" s="236">
        <v>10791</v>
      </c>
      <c r="T2154" s="236">
        <v>1224.0999999999999</v>
      </c>
      <c r="U2154" s="236">
        <v>129.9</v>
      </c>
      <c r="V2154" s="235">
        <v>147521</v>
      </c>
      <c r="W2154" s="235">
        <v>50781</v>
      </c>
      <c r="X2154" s="235">
        <v>47819</v>
      </c>
      <c r="Y2154" s="235">
        <v>92778</v>
      </c>
      <c r="Z2154" s="235">
        <v>88725</v>
      </c>
      <c r="AC2154" s="279" t="s">
        <v>210</v>
      </c>
      <c r="AD2154" s="303">
        <f t="shared" si="2538"/>
        <v>112</v>
      </c>
      <c r="AE2154" s="303">
        <f t="shared" si="2539"/>
        <v>424</v>
      </c>
    </row>
    <row r="2155" spans="1:31" ht="18" customHeight="1" x14ac:dyDescent="0.2">
      <c r="A2155" s="279">
        <f t="shared" si="2540"/>
        <v>45006</v>
      </c>
      <c r="B2155" s="280" t="s">
        <v>192</v>
      </c>
      <c r="C2155" s="299">
        <f t="shared" si="2541"/>
        <v>2150</v>
      </c>
      <c r="D2155" s="300">
        <f t="shared" si="2542"/>
        <v>672</v>
      </c>
      <c r="E2155" s="301">
        <f t="shared" si="2543"/>
        <v>1776.0000000000628</v>
      </c>
      <c r="F2155" s="301">
        <f t="shared" si="2544"/>
        <v>73</v>
      </c>
      <c r="G2155" s="302">
        <f t="shared" si="2545"/>
        <v>4671.0000000000628</v>
      </c>
      <c r="H2155" s="199"/>
      <c r="I2155" s="199"/>
      <c r="J2155" s="200"/>
      <c r="K2155" s="201"/>
      <c r="L2155" s="276"/>
      <c r="M2155" s="276"/>
      <c r="N2155" s="235">
        <v>89941</v>
      </c>
      <c r="O2155" s="235">
        <v>37390</v>
      </c>
      <c r="P2155" s="235">
        <v>66044</v>
      </c>
      <c r="Q2155" s="235">
        <v>3812</v>
      </c>
      <c r="R2155" s="235">
        <v>47296</v>
      </c>
      <c r="S2155" s="236">
        <v>10807.3</v>
      </c>
      <c r="T2155" s="236">
        <v>1224.5</v>
      </c>
      <c r="U2155" s="236">
        <v>133.5</v>
      </c>
      <c r="V2155" s="235">
        <v>147690</v>
      </c>
      <c r="W2155" s="235">
        <v>50814</v>
      </c>
      <c r="X2155" s="235">
        <v>47891</v>
      </c>
      <c r="Y2155" s="235">
        <v>92778</v>
      </c>
      <c r="Z2155" s="235">
        <v>88811</v>
      </c>
      <c r="AC2155" s="279" t="s">
        <v>211</v>
      </c>
      <c r="AD2155" s="303">
        <f t="shared" si="2538"/>
        <v>104</v>
      </c>
      <c r="AE2155" s="303">
        <f t="shared" si="2539"/>
        <v>400</v>
      </c>
    </row>
    <row r="2156" spans="1:31" ht="18" customHeight="1" x14ac:dyDescent="0.2">
      <c r="A2156" s="279">
        <f t="shared" si="2540"/>
        <v>45007</v>
      </c>
      <c r="B2156" s="280" t="s">
        <v>193</v>
      </c>
      <c r="C2156" s="299">
        <f t="shared" si="2541"/>
        <v>2027</v>
      </c>
      <c r="D2156" s="300">
        <f t="shared" si="2542"/>
        <v>688</v>
      </c>
      <c r="E2156" s="301">
        <f t="shared" si="2543"/>
        <v>1839.9999999999363</v>
      </c>
      <c r="F2156" s="301">
        <f t="shared" si="2544"/>
        <v>64</v>
      </c>
      <c r="G2156" s="302">
        <f t="shared" si="2545"/>
        <v>4618.9999999999363</v>
      </c>
      <c r="H2156" s="199"/>
      <c r="I2156" s="199"/>
      <c r="J2156" s="200"/>
      <c r="K2156" s="201"/>
      <c r="L2156" s="276"/>
      <c r="M2156" s="276"/>
      <c r="N2156" s="235">
        <v>90012</v>
      </c>
      <c r="O2156" s="235">
        <v>37416</v>
      </c>
      <c r="P2156" s="235">
        <v>66057</v>
      </c>
      <c r="Q2156" s="235">
        <v>3862</v>
      </c>
      <c r="R2156" s="235">
        <v>47296</v>
      </c>
      <c r="S2156" s="236">
        <v>10826</v>
      </c>
      <c r="T2156" s="236">
        <v>1224.9000000000001</v>
      </c>
      <c r="U2156" s="236">
        <v>136.80000000000001</v>
      </c>
      <c r="V2156" s="235">
        <v>147872</v>
      </c>
      <c r="W2156" s="235">
        <v>50850</v>
      </c>
      <c r="X2156" s="235">
        <v>47959</v>
      </c>
      <c r="Y2156" s="235">
        <v>92778</v>
      </c>
      <c r="Z2156" s="235">
        <v>88884</v>
      </c>
      <c r="AC2156" s="279" t="s">
        <v>212</v>
      </c>
      <c r="AD2156" s="303">
        <f t="shared" si="2538"/>
        <v>104</v>
      </c>
      <c r="AE2156" s="303">
        <f t="shared" si="2539"/>
        <v>400</v>
      </c>
    </row>
    <row r="2157" spans="1:31" ht="18" customHeight="1" x14ac:dyDescent="0.2">
      <c r="A2157" s="279">
        <f t="shared" si="2540"/>
        <v>45008</v>
      </c>
      <c r="B2157" s="280" t="s">
        <v>194</v>
      </c>
      <c r="C2157" s="299">
        <f t="shared" si="2541"/>
        <v>2095</v>
      </c>
      <c r="D2157" s="300">
        <f t="shared" si="2542"/>
        <v>624</v>
      </c>
      <c r="E2157" s="301">
        <f t="shared" si="2543"/>
        <v>1580.0000000001137</v>
      </c>
      <c r="F2157" s="301">
        <f t="shared" si="2544"/>
        <v>62</v>
      </c>
      <c r="G2157" s="302">
        <f t="shared" si="2545"/>
        <v>4361.0000000001137</v>
      </c>
      <c r="H2157" s="199"/>
      <c r="I2157" s="199"/>
      <c r="J2157" s="200"/>
      <c r="K2157" s="201"/>
      <c r="L2157" s="276"/>
      <c r="M2157" s="276"/>
      <c r="N2157" s="235">
        <v>90085</v>
      </c>
      <c r="O2157" s="235">
        <v>37443</v>
      </c>
      <c r="P2157" s="235">
        <v>66070</v>
      </c>
      <c r="Q2157" s="235">
        <v>3912</v>
      </c>
      <c r="R2157" s="235">
        <v>47296</v>
      </c>
      <c r="S2157" s="236">
        <v>10844.3</v>
      </c>
      <c r="T2157" s="236">
        <v>1225.3</v>
      </c>
      <c r="U2157" s="236">
        <v>141.30000000000001</v>
      </c>
      <c r="V2157" s="235">
        <v>148067</v>
      </c>
      <c r="W2157" s="235">
        <v>50887</v>
      </c>
      <c r="X2157" s="235">
        <v>48013</v>
      </c>
      <c r="Y2157" s="235">
        <v>92778</v>
      </c>
      <c r="Z2157" s="235">
        <v>88948</v>
      </c>
      <c r="AC2157" s="279" t="s">
        <v>213</v>
      </c>
      <c r="AD2157" s="303">
        <f t="shared" si="2538"/>
        <v>104</v>
      </c>
      <c r="AE2157" s="303">
        <f t="shared" si="2539"/>
        <v>392</v>
      </c>
    </row>
    <row r="2158" spans="1:31" ht="18" customHeight="1" x14ac:dyDescent="0.2">
      <c r="A2158" s="279">
        <f t="shared" si="2540"/>
        <v>45009</v>
      </c>
      <c r="B2158" s="278" t="s">
        <v>189</v>
      </c>
      <c r="C2158" s="299">
        <f t="shared" si="2541"/>
        <v>1677</v>
      </c>
      <c r="D2158" s="300">
        <f t="shared" si="2542"/>
        <v>600</v>
      </c>
      <c r="E2158" s="301">
        <f t="shared" si="2543"/>
        <v>1047.9999999998881</v>
      </c>
      <c r="F2158" s="301">
        <f t="shared" si="2544"/>
        <v>65</v>
      </c>
      <c r="G2158" s="302">
        <f t="shared" si="2545"/>
        <v>3389.9999999998881</v>
      </c>
      <c r="H2158" s="199"/>
      <c r="I2158" s="199"/>
      <c r="J2158" s="200"/>
      <c r="K2158" s="201"/>
      <c r="L2158" s="276"/>
      <c r="M2158" s="276"/>
      <c r="N2158" s="235">
        <v>90150</v>
      </c>
      <c r="O2158" s="235">
        <v>37468</v>
      </c>
      <c r="P2158" s="235">
        <v>66083</v>
      </c>
      <c r="Q2158" s="235">
        <v>3961</v>
      </c>
      <c r="R2158" s="235">
        <v>47296</v>
      </c>
      <c r="S2158" s="236">
        <v>10860.7</v>
      </c>
      <c r="T2158" s="236">
        <v>1225.5999999999999</v>
      </c>
      <c r="U2158" s="236">
        <v>144.5</v>
      </c>
      <c r="V2158" s="235">
        <v>148238</v>
      </c>
      <c r="W2158" s="235">
        <v>50922</v>
      </c>
      <c r="X2158" s="235">
        <v>48080</v>
      </c>
      <c r="Y2158" s="235">
        <v>92778</v>
      </c>
      <c r="Z2158" s="235">
        <v>89010</v>
      </c>
      <c r="AC2158" s="279" t="s">
        <v>214</v>
      </c>
      <c r="AD2158" s="303">
        <f t="shared" si="2538"/>
        <v>96</v>
      </c>
      <c r="AE2158" s="303">
        <f t="shared" si="2539"/>
        <v>360</v>
      </c>
    </row>
    <row r="2159" spans="1:31" ht="18" customHeight="1" x14ac:dyDescent="0.2">
      <c r="A2159" s="279">
        <f t="shared" si="2540"/>
        <v>45010</v>
      </c>
      <c r="B2159" s="279" t="s">
        <v>195</v>
      </c>
      <c r="C2159" s="299">
        <f t="shared" si="2541"/>
        <v>0</v>
      </c>
      <c r="D2159" s="300">
        <f t="shared" si="2542"/>
        <v>0</v>
      </c>
      <c r="E2159" s="301">
        <f t="shared" si="2543"/>
        <v>0</v>
      </c>
      <c r="F2159" s="301">
        <f t="shared" si="2544"/>
        <v>0</v>
      </c>
      <c r="G2159" s="302">
        <f t="shared" si="2545"/>
        <v>0</v>
      </c>
      <c r="H2159" s="199"/>
      <c r="I2159" s="199"/>
      <c r="J2159" s="200"/>
      <c r="K2159" s="201"/>
      <c r="L2159" s="276"/>
      <c r="M2159" s="276"/>
      <c r="N2159" s="235">
        <v>90213</v>
      </c>
      <c r="O2159" s="235">
        <v>37491</v>
      </c>
      <c r="P2159" s="235">
        <v>66095</v>
      </c>
      <c r="Q2159" s="235">
        <v>4006</v>
      </c>
      <c r="R2159" s="235">
        <v>47296</v>
      </c>
      <c r="S2159" s="236">
        <v>10870.3</v>
      </c>
      <c r="T2159" s="236">
        <v>1226</v>
      </c>
      <c r="U2159" s="236">
        <v>147.80000000000001</v>
      </c>
      <c r="V2159" s="235">
        <v>148395</v>
      </c>
      <c r="W2159" s="235">
        <v>50950</v>
      </c>
      <c r="X2159" s="235">
        <v>48132</v>
      </c>
      <c r="Y2159" s="235">
        <v>92778</v>
      </c>
      <c r="Z2159" s="235">
        <v>89075</v>
      </c>
      <c r="AC2159" s="279" t="s">
        <v>215</v>
      </c>
      <c r="AD2159" s="303">
        <f t="shared" si="2538"/>
        <v>0</v>
      </c>
      <c r="AE2159" s="303">
        <f t="shared" si="2539"/>
        <v>0</v>
      </c>
    </row>
    <row r="2160" spans="1:31" ht="18" customHeight="1" x14ac:dyDescent="0.2">
      <c r="A2160" s="279">
        <f t="shared" si="2540"/>
        <v>45011</v>
      </c>
      <c r="B2160" s="278" t="s">
        <v>190</v>
      </c>
      <c r="C2160" s="299">
        <f t="shared" si="2541"/>
        <v>2390</v>
      </c>
      <c r="D2160" s="300">
        <f t="shared" si="2542"/>
        <v>840</v>
      </c>
      <c r="E2160" s="301">
        <f t="shared" si="2543"/>
        <v>1140.000000000116</v>
      </c>
      <c r="F2160" s="301">
        <f t="shared" si="2544"/>
        <v>190</v>
      </c>
      <c r="G2160" s="302">
        <f t="shared" si="2545"/>
        <v>4560.0000000001164</v>
      </c>
      <c r="H2160" s="199"/>
      <c r="I2160" s="199"/>
      <c r="J2160" s="200"/>
      <c r="K2160" s="201"/>
      <c r="L2160" s="276"/>
      <c r="M2160" s="276"/>
      <c r="N2160" s="288">
        <v>90213</v>
      </c>
      <c r="O2160" s="288">
        <v>37491</v>
      </c>
      <c r="P2160" s="288">
        <v>66095</v>
      </c>
      <c r="Q2160" s="288">
        <v>4006</v>
      </c>
      <c r="R2160" s="288">
        <v>47296</v>
      </c>
      <c r="S2160" s="289">
        <v>10870.3</v>
      </c>
      <c r="T2160" s="289">
        <v>1226</v>
      </c>
      <c r="U2160" s="289">
        <v>147.80000000000001</v>
      </c>
      <c r="V2160" s="288">
        <v>148395</v>
      </c>
      <c r="W2160" s="288">
        <v>50950</v>
      </c>
      <c r="X2160" s="288">
        <v>48132</v>
      </c>
      <c r="Y2160" s="288">
        <v>92778</v>
      </c>
      <c r="Z2160" s="288">
        <v>89075</v>
      </c>
      <c r="AC2160" s="279" t="s">
        <v>216</v>
      </c>
      <c r="AD2160" s="303">
        <f t="shared" si="2538"/>
        <v>144</v>
      </c>
      <c r="AE2160" s="303">
        <f t="shared" si="2539"/>
        <v>976</v>
      </c>
    </row>
    <row r="2161" spans="1:31" ht="18" customHeight="1" x14ac:dyDescent="0.2">
      <c r="A2161" s="279">
        <f t="shared" si="2540"/>
        <v>45012</v>
      </c>
      <c r="B2161" s="280" t="s">
        <v>191</v>
      </c>
      <c r="C2161" s="299">
        <f t="shared" si="2541"/>
        <v>1582</v>
      </c>
      <c r="D2161" s="300">
        <f t="shared" si="2542"/>
        <v>456</v>
      </c>
      <c r="E2161" s="301">
        <f t="shared" si="2543"/>
        <v>1839.999999999975</v>
      </c>
      <c r="F2161" s="301">
        <f t="shared" si="2544"/>
        <v>111</v>
      </c>
      <c r="G2161" s="302">
        <f t="shared" si="2545"/>
        <v>3988.999999999975</v>
      </c>
      <c r="H2161" s="199"/>
      <c r="I2161" s="199"/>
      <c r="J2161" s="200"/>
      <c r="K2161" s="201"/>
      <c r="L2161" s="276"/>
      <c r="M2161" s="276"/>
      <c r="N2161" s="235">
        <v>90300</v>
      </c>
      <c r="O2161" s="235">
        <v>37596</v>
      </c>
      <c r="P2161" s="235">
        <v>66113</v>
      </c>
      <c r="Q2161" s="235">
        <v>4128</v>
      </c>
      <c r="R2161" s="235">
        <v>47296</v>
      </c>
      <c r="S2161" s="236">
        <v>10883.2</v>
      </c>
      <c r="T2161" s="236">
        <v>1226.5</v>
      </c>
      <c r="U2161" s="236">
        <v>148.9</v>
      </c>
      <c r="V2161" s="235">
        <v>148665</v>
      </c>
      <c r="W2161" s="235">
        <v>50993</v>
      </c>
      <c r="X2161" s="235">
        <v>48194</v>
      </c>
      <c r="Y2161" s="235">
        <v>92778</v>
      </c>
      <c r="Z2161" s="235">
        <v>89265</v>
      </c>
      <c r="AC2161" s="279" t="s">
        <v>210</v>
      </c>
      <c r="AD2161" s="303">
        <f t="shared" si="2538"/>
        <v>80</v>
      </c>
      <c r="AE2161" s="303">
        <f t="shared" si="2539"/>
        <v>304</v>
      </c>
    </row>
    <row r="2162" spans="1:31" ht="18" customHeight="1" x14ac:dyDescent="0.2">
      <c r="A2162" s="279">
        <f t="shared" si="2540"/>
        <v>45013</v>
      </c>
      <c r="B2162" s="280" t="s">
        <v>192</v>
      </c>
      <c r="C2162" s="299">
        <f t="shared" ref="C2162:C2170" si="2546">(V2163-V2162)*1+(W2163-W2162)*32+(X2163-X2162)*12+(Y2163-Y2162)*6</f>
        <v>1596</v>
      </c>
      <c r="D2162" s="300">
        <f t="shared" ref="D2162:D2170" si="2547">(N2163-N2162)*8+(P2163-P2162)*8+(R2163-R2162)*1</f>
        <v>504</v>
      </c>
      <c r="E2162" s="301">
        <f t="shared" ref="E2162:E2170" si="2548">(S2163-S2162)*80+(T2163-T2162)*40+(U2163-U2162)*80</f>
        <v>1387.9999999999973</v>
      </c>
      <c r="F2162" s="301">
        <f t="shared" ref="F2162:F2170" si="2549">(Z2163-Z2162)*1</f>
        <v>119</v>
      </c>
      <c r="G2162" s="302">
        <f t="shared" ref="G2162:G2170" si="2550">C2162+D2162+F2162+E2162</f>
        <v>3606.9999999999973</v>
      </c>
      <c r="H2162" s="199"/>
      <c r="I2162" s="199"/>
      <c r="J2162" s="200"/>
      <c r="K2162" s="201"/>
      <c r="L2162" s="276"/>
      <c r="M2162" s="276"/>
      <c r="N2162" s="235">
        <v>90347</v>
      </c>
      <c r="O2162" s="235">
        <v>37564</v>
      </c>
      <c r="P2162" s="235">
        <v>66123</v>
      </c>
      <c r="Q2162" s="235">
        <v>4166</v>
      </c>
      <c r="R2162" s="235">
        <v>47296</v>
      </c>
      <c r="S2162" s="236">
        <v>10899.6</v>
      </c>
      <c r="T2162" s="236">
        <v>1226.9000000000001</v>
      </c>
      <c r="U2162" s="236">
        <v>155.30000000000001</v>
      </c>
      <c r="V2162" s="235">
        <v>148831</v>
      </c>
      <c r="W2162" s="235">
        <v>51011</v>
      </c>
      <c r="X2162" s="235">
        <v>48264</v>
      </c>
      <c r="Y2162" s="235">
        <v>92778</v>
      </c>
      <c r="Z2162" s="235">
        <v>89376</v>
      </c>
      <c r="AC2162" s="279" t="s">
        <v>211</v>
      </c>
    </row>
    <row r="2163" spans="1:31" ht="18" customHeight="1" x14ac:dyDescent="0.2">
      <c r="A2163" s="279">
        <f t="shared" si="2540"/>
        <v>45014</v>
      </c>
      <c r="B2163" s="280" t="s">
        <v>193</v>
      </c>
      <c r="C2163" s="299">
        <f t="shared" si="2546"/>
        <v>1688</v>
      </c>
      <c r="D2163" s="300">
        <f t="shared" si="2547"/>
        <v>552</v>
      </c>
      <c r="E2163" s="301">
        <f t="shared" si="2548"/>
        <v>1639.9999999999955</v>
      </c>
      <c r="F2163" s="301">
        <f t="shared" si="2549"/>
        <v>112</v>
      </c>
      <c r="G2163" s="302">
        <f t="shared" si="2550"/>
        <v>3991.9999999999955</v>
      </c>
      <c r="H2163" s="199"/>
      <c r="I2163" s="199"/>
      <c r="J2163" s="200"/>
      <c r="K2163" s="201"/>
      <c r="L2163" s="276"/>
      <c r="M2163" s="276"/>
      <c r="N2163" s="235">
        <v>90401</v>
      </c>
      <c r="O2163" s="235">
        <v>37583</v>
      </c>
      <c r="P2163" s="235">
        <v>66132</v>
      </c>
      <c r="Q2163" s="235">
        <v>4202</v>
      </c>
      <c r="R2163" s="235">
        <v>47296</v>
      </c>
      <c r="S2163" s="236">
        <v>10914.6</v>
      </c>
      <c r="T2163" s="236">
        <v>1227.2</v>
      </c>
      <c r="U2163" s="236">
        <v>157.5</v>
      </c>
      <c r="V2163" s="235">
        <v>148987</v>
      </c>
      <c r="W2163" s="235">
        <v>51035</v>
      </c>
      <c r="X2163" s="235">
        <v>48320</v>
      </c>
      <c r="Y2163" s="235">
        <v>92778</v>
      </c>
      <c r="Z2163" s="235">
        <v>89495</v>
      </c>
      <c r="AC2163" s="279" t="s">
        <v>212</v>
      </c>
    </row>
    <row r="2164" spans="1:31" ht="18" customHeight="1" x14ac:dyDescent="0.2">
      <c r="A2164" s="279">
        <f t="shared" si="2540"/>
        <v>45015</v>
      </c>
      <c r="B2164" s="280" t="s">
        <v>194</v>
      </c>
      <c r="C2164" s="299">
        <f t="shared" si="2546"/>
        <v>1722</v>
      </c>
      <c r="D2164" s="300">
        <f t="shared" si="2547"/>
        <v>544</v>
      </c>
      <c r="E2164" s="301">
        <f t="shared" si="2548"/>
        <v>1483.9999999999486</v>
      </c>
      <c r="F2164" s="301">
        <f t="shared" si="2549"/>
        <v>115</v>
      </c>
      <c r="G2164" s="302">
        <f t="shared" si="2550"/>
        <v>3864.9999999999486</v>
      </c>
      <c r="H2164" s="199"/>
      <c r="I2164" s="199"/>
      <c r="J2164" s="200"/>
      <c r="K2164" s="201"/>
      <c r="L2164" s="276"/>
      <c r="M2164" s="276"/>
      <c r="N2164" s="235">
        <v>90460</v>
      </c>
      <c r="O2164" s="235">
        <v>37605</v>
      </c>
      <c r="P2164" s="235">
        <v>66142</v>
      </c>
      <c r="Q2164" s="235">
        <v>4239</v>
      </c>
      <c r="R2164" s="235">
        <v>47296</v>
      </c>
      <c r="S2164" s="236">
        <v>10930.6</v>
      </c>
      <c r="T2164" s="236">
        <v>1227.5999999999999</v>
      </c>
      <c r="U2164" s="236">
        <v>161.80000000000001</v>
      </c>
      <c r="V2164" s="235">
        <v>149147</v>
      </c>
      <c r="W2164" s="235">
        <v>51061</v>
      </c>
      <c r="X2164" s="235">
        <v>48378</v>
      </c>
      <c r="Y2164" s="235">
        <v>92778</v>
      </c>
      <c r="Z2164" s="235">
        <v>89607</v>
      </c>
      <c r="AC2164" s="279" t="s">
        <v>213</v>
      </c>
    </row>
    <row r="2165" spans="1:31" ht="18" customHeight="1" x14ac:dyDescent="0.2">
      <c r="A2165" s="279">
        <f t="shared" si="2540"/>
        <v>45016</v>
      </c>
      <c r="B2165" s="278" t="s">
        <v>189</v>
      </c>
      <c r="C2165" s="299">
        <f t="shared" si="2546"/>
        <v>0</v>
      </c>
      <c r="D2165" s="300">
        <f t="shared" si="2547"/>
        <v>0</v>
      </c>
      <c r="E2165" s="301">
        <f t="shared" si="2548"/>
        <v>0</v>
      </c>
      <c r="F2165" s="301">
        <f t="shared" si="2549"/>
        <v>0</v>
      </c>
      <c r="G2165" s="302">
        <f t="shared" si="2550"/>
        <v>0</v>
      </c>
      <c r="H2165" s="199"/>
      <c r="I2165" s="199"/>
      <c r="J2165" s="200"/>
      <c r="K2165" s="201"/>
      <c r="L2165" s="276"/>
      <c r="M2165" s="276"/>
      <c r="N2165" s="235">
        <v>90519</v>
      </c>
      <c r="O2165" s="235">
        <v>37627</v>
      </c>
      <c r="P2165" s="235">
        <v>66151</v>
      </c>
      <c r="Q2165" s="235">
        <v>4295</v>
      </c>
      <c r="R2165" s="235">
        <v>47296</v>
      </c>
      <c r="S2165" s="236">
        <v>10945.9</v>
      </c>
      <c r="T2165" s="236">
        <v>1227.9000000000001</v>
      </c>
      <c r="U2165" s="236">
        <v>164.9</v>
      </c>
      <c r="V2165" s="235">
        <v>149297</v>
      </c>
      <c r="W2165" s="235">
        <v>51088</v>
      </c>
      <c r="X2165" s="235">
        <v>48437</v>
      </c>
      <c r="Y2165" s="235">
        <v>92778</v>
      </c>
      <c r="Z2165" s="235">
        <v>89722</v>
      </c>
      <c r="AC2165" s="279" t="s">
        <v>214</v>
      </c>
    </row>
    <row r="2166" spans="1:31" ht="18" customHeight="1" x14ac:dyDescent="0.2">
      <c r="A2166" s="279">
        <f t="shared" si="2540"/>
        <v>45017</v>
      </c>
      <c r="B2166" s="279" t="s">
        <v>195</v>
      </c>
      <c r="C2166" s="299">
        <f t="shared" si="2546"/>
        <v>0</v>
      </c>
      <c r="D2166" s="300">
        <f t="shared" si="2547"/>
        <v>0</v>
      </c>
      <c r="E2166" s="301">
        <f t="shared" si="2548"/>
        <v>0</v>
      </c>
      <c r="F2166" s="301">
        <f t="shared" si="2549"/>
        <v>0</v>
      </c>
      <c r="G2166" s="302">
        <f t="shared" si="2550"/>
        <v>0</v>
      </c>
      <c r="H2166" s="199"/>
      <c r="I2166" s="199"/>
      <c r="J2166" s="200"/>
      <c r="K2166" s="201"/>
      <c r="L2166" s="276"/>
      <c r="M2166" s="276"/>
      <c r="N2166" s="153">
        <v>90519</v>
      </c>
      <c r="O2166" s="153">
        <v>37627</v>
      </c>
      <c r="P2166" s="153">
        <v>66151</v>
      </c>
      <c r="Q2166" s="153">
        <v>4295</v>
      </c>
      <c r="R2166" s="153">
        <v>47296</v>
      </c>
      <c r="S2166" s="154">
        <v>10945.9</v>
      </c>
      <c r="T2166" s="154">
        <v>1227.9000000000001</v>
      </c>
      <c r="U2166" s="154">
        <v>164.9</v>
      </c>
      <c r="V2166" s="153">
        <v>149297</v>
      </c>
      <c r="W2166" s="153">
        <v>51088</v>
      </c>
      <c r="X2166" s="153">
        <v>48437</v>
      </c>
      <c r="Y2166" s="153">
        <v>92778</v>
      </c>
      <c r="Z2166" s="153">
        <v>89722</v>
      </c>
      <c r="AC2166" s="279" t="s">
        <v>215</v>
      </c>
    </row>
    <row r="2167" spans="1:31" ht="18" customHeight="1" x14ac:dyDescent="0.2">
      <c r="A2167" s="279">
        <f t="shared" si="2540"/>
        <v>45018</v>
      </c>
      <c r="B2167" s="278" t="s">
        <v>190</v>
      </c>
      <c r="C2167" s="299">
        <f t="shared" si="2546"/>
        <v>0</v>
      </c>
      <c r="D2167" s="300">
        <f t="shared" si="2547"/>
        <v>0</v>
      </c>
      <c r="E2167" s="301">
        <f t="shared" si="2548"/>
        <v>0</v>
      </c>
      <c r="F2167" s="301">
        <f t="shared" si="2549"/>
        <v>0</v>
      </c>
      <c r="G2167" s="302">
        <f t="shared" si="2550"/>
        <v>0</v>
      </c>
      <c r="H2167" s="199"/>
      <c r="I2167" s="199"/>
      <c r="J2167" s="200"/>
      <c r="K2167" s="201"/>
      <c r="L2167" s="276"/>
      <c r="M2167" s="276"/>
      <c r="N2167" s="153">
        <v>90519</v>
      </c>
      <c r="O2167" s="153">
        <v>37627</v>
      </c>
      <c r="P2167" s="153">
        <v>66151</v>
      </c>
      <c r="Q2167" s="153">
        <v>4295</v>
      </c>
      <c r="R2167" s="153">
        <v>47296</v>
      </c>
      <c r="S2167" s="154">
        <v>10945.9</v>
      </c>
      <c r="T2167" s="154">
        <v>1227.9000000000001</v>
      </c>
      <c r="U2167" s="154">
        <v>164.9</v>
      </c>
      <c r="V2167" s="153">
        <v>149297</v>
      </c>
      <c r="W2167" s="153">
        <v>51088</v>
      </c>
      <c r="X2167" s="153">
        <v>48437</v>
      </c>
      <c r="Y2167" s="153">
        <v>92778</v>
      </c>
      <c r="Z2167" s="153">
        <v>89722</v>
      </c>
    </row>
    <row r="2168" spans="1:31" ht="18" customHeight="1" x14ac:dyDescent="0.2">
      <c r="A2168" s="279">
        <f t="shared" si="2540"/>
        <v>45019</v>
      </c>
      <c r="B2168" s="280" t="s">
        <v>191</v>
      </c>
      <c r="C2168" s="299">
        <f t="shared" si="2546"/>
        <v>0</v>
      </c>
      <c r="D2168" s="300">
        <f t="shared" si="2547"/>
        <v>0</v>
      </c>
      <c r="E2168" s="301">
        <f t="shared" si="2548"/>
        <v>0</v>
      </c>
      <c r="F2168" s="301">
        <f t="shared" si="2549"/>
        <v>0</v>
      </c>
      <c r="G2168" s="302">
        <f t="shared" si="2550"/>
        <v>0</v>
      </c>
      <c r="H2168" s="199"/>
      <c r="I2168" s="199"/>
      <c r="J2168" s="200"/>
      <c r="K2168" s="201"/>
      <c r="L2168" s="276"/>
      <c r="M2168" s="276"/>
      <c r="N2168" s="153">
        <v>90519</v>
      </c>
      <c r="O2168" s="153">
        <v>37627</v>
      </c>
      <c r="P2168" s="153">
        <v>66151</v>
      </c>
      <c r="Q2168" s="153">
        <v>4295</v>
      </c>
      <c r="R2168" s="153">
        <v>47296</v>
      </c>
      <c r="S2168" s="154">
        <v>10945.9</v>
      </c>
      <c r="T2168" s="154">
        <v>1227.9000000000001</v>
      </c>
      <c r="U2168" s="154">
        <v>164.9</v>
      </c>
      <c r="V2168" s="153">
        <v>149297</v>
      </c>
      <c r="W2168" s="153">
        <v>51088</v>
      </c>
      <c r="X2168" s="153">
        <v>48437</v>
      </c>
      <c r="Y2168" s="153">
        <v>92778</v>
      </c>
      <c r="Z2168" s="153">
        <v>89722</v>
      </c>
    </row>
    <row r="2169" spans="1:31" ht="18" customHeight="1" x14ac:dyDescent="0.2">
      <c r="A2169" s="279">
        <f t="shared" si="2540"/>
        <v>45020</v>
      </c>
      <c r="B2169" s="280" t="s">
        <v>192</v>
      </c>
      <c r="C2169" s="299">
        <f t="shared" si="2546"/>
        <v>0</v>
      </c>
      <c r="D2169" s="300">
        <f t="shared" si="2547"/>
        <v>0</v>
      </c>
      <c r="E2169" s="301">
        <f t="shared" si="2548"/>
        <v>0</v>
      </c>
      <c r="F2169" s="301">
        <f t="shared" si="2549"/>
        <v>0</v>
      </c>
      <c r="G2169" s="302">
        <f t="shared" si="2550"/>
        <v>0</v>
      </c>
      <c r="H2169" s="199"/>
      <c r="I2169" s="199"/>
      <c r="J2169" s="200"/>
      <c r="K2169" s="201"/>
      <c r="L2169" s="276"/>
      <c r="M2169" s="276"/>
      <c r="N2169" s="153">
        <v>90519</v>
      </c>
      <c r="O2169" s="153">
        <v>37627</v>
      </c>
      <c r="P2169" s="153">
        <v>66151</v>
      </c>
      <c r="Q2169" s="153">
        <v>4295</v>
      </c>
      <c r="R2169" s="153">
        <v>47296</v>
      </c>
      <c r="S2169" s="154">
        <v>10945.9</v>
      </c>
      <c r="T2169" s="154">
        <v>1227.9000000000001</v>
      </c>
      <c r="U2169" s="154">
        <v>164.9</v>
      </c>
      <c r="V2169" s="153">
        <v>149297</v>
      </c>
      <c r="W2169" s="153">
        <v>51088</v>
      </c>
      <c r="X2169" s="153">
        <v>48437</v>
      </c>
      <c r="Y2169" s="153">
        <v>92778</v>
      </c>
      <c r="Z2169" s="153">
        <v>89722</v>
      </c>
    </row>
    <row r="2170" spans="1:31" ht="18" customHeight="1" x14ac:dyDescent="0.2">
      <c r="A2170" s="279">
        <f t="shared" si="2540"/>
        <v>45021</v>
      </c>
      <c r="B2170" s="280" t="s">
        <v>193</v>
      </c>
      <c r="C2170" s="299">
        <f t="shared" si="2546"/>
        <v>3235</v>
      </c>
      <c r="D2170" s="300">
        <f t="shared" si="2547"/>
        <v>496</v>
      </c>
      <c r="E2170" s="301">
        <f t="shared" si="2548"/>
        <v>2399.9999999999932</v>
      </c>
      <c r="F2170" s="301">
        <f t="shared" si="2549"/>
        <v>442</v>
      </c>
      <c r="G2170" s="302">
        <f t="shared" si="2550"/>
        <v>6572.9999999999927</v>
      </c>
      <c r="H2170" s="199"/>
      <c r="I2170" s="199"/>
      <c r="J2170" s="200"/>
      <c r="K2170" s="201"/>
      <c r="L2170" s="276"/>
      <c r="M2170" s="276"/>
      <c r="N2170" s="153">
        <v>90519</v>
      </c>
      <c r="O2170" s="153">
        <v>37627</v>
      </c>
      <c r="P2170" s="153">
        <v>66151</v>
      </c>
      <c r="Q2170" s="153">
        <v>4295</v>
      </c>
      <c r="R2170" s="153">
        <v>47296</v>
      </c>
      <c r="S2170" s="154">
        <v>10945.9</v>
      </c>
      <c r="T2170" s="154">
        <v>1227.9000000000001</v>
      </c>
      <c r="U2170" s="154">
        <v>164.9</v>
      </c>
      <c r="V2170" s="153">
        <v>149297</v>
      </c>
      <c r="W2170" s="153">
        <v>51088</v>
      </c>
      <c r="X2170" s="153">
        <v>48437</v>
      </c>
      <c r="Y2170" s="153">
        <v>92778</v>
      </c>
      <c r="Z2170" s="153">
        <v>89722</v>
      </c>
    </row>
    <row r="2171" spans="1:31" ht="18" customHeight="1" x14ac:dyDescent="0.2">
      <c r="A2171" s="279">
        <f t="shared" si="2540"/>
        <v>45022</v>
      </c>
      <c r="B2171" s="280" t="s">
        <v>194</v>
      </c>
      <c r="C2171" s="299">
        <f t="shared" ref="C2171:C2181" si="2551">(V2172-V2171)*1+(W2172-W2171)*32+(X2172-X2171)*12+(Y2172-Y2171)*6</f>
        <v>2003</v>
      </c>
      <c r="D2171" s="300">
        <f t="shared" ref="D2171:D2181" si="2552">(N2172-N2171)*8+(P2172-P2171)*8+(R2172-R2171)*1</f>
        <v>528</v>
      </c>
      <c r="E2171" s="301">
        <f t="shared" ref="E2171:E2181" si="2553">(S2172-S2171)*80+(T2172-T2171)*40+(U2172-U2171)*80</f>
        <v>976.00000000009004</v>
      </c>
      <c r="F2171" s="301">
        <f t="shared" ref="F2171:F2181" si="2554">(Z2172-Z2171)*1</f>
        <v>22</v>
      </c>
      <c r="G2171" s="302">
        <f t="shared" ref="G2171:G2181" si="2555">C2171+D2171+F2171+E2171</f>
        <v>3529.00000000009</v>
      </c>
      <c r="H2171" s="199"/>
      <c r="I2171" s="199"/>
      <c r="J2171" s="200"/>
      <c r="K2171" s="201"/>
      <c r="L2171" s="276"/>
      <c r="M2171" s="276"/>
      <c r="N2171" s="235">
        <v>90572</v>
      </c>
      <c r="O2171" s="235">
        <v>37646</v>
      </c>
      <c r="P2171" s="235">
        <v>66160</v>
      </c>
      <c r="Q2171" s="235">
        <v>4318</v>
      </c>
      <c r="R2171" s="235">
        <v>47296</v>
      </c>
      <c r="S2171" s="236">
        <v>10966.9</v>
      </c>
      <c r="T2171" s="236">
        <v>1238.0999999999999</v>
      </c>
      <c r="U2171" s="236">
        <v>168.8</v>
      </c>
      <c r="V2171" s="235">
        <v>150016</v>
      </c>
      <c r="W2171" s="235">
        <v>51149</v>
      </c>
      <c r="X2171" s="235">
        <v>48484</v>
      </c>
      <c r="Y2171" s="235">
        <v>92778</v>
      </c>
      <c r="Z2171" s="235">
        <v>90164</v>
      </c>
    </row>
    <row r="2172" spans="1:31" ht="18" customHeight="1" x14ac:dyDescent="0.2">
      <c r="A2172" s="279">
        <f t="shared" si="2540"/>
        <v>45023</v>
      </c>
      <c r="B2172" s="278" t="s">
        <v>189</v>
      </c>
      <c r="C2172" s="299">
        <f t="shared" si="2551"/>
        <v>0</v>
      </c>
      <c r="D2172" s="300">
        <f t="shared" si="2552"/>
        <v>0</v>
      </c>
      <c r="E2172" s="301">
        <f t="shared" si="2553"/>
        <v>0</v>
      </c>
      <c r="F2172" s="301">
        <f t="shared" si="2554"/>
        <v>0</v>
      </c>
      <c r="G2172" s="302">
        <f t="shared" si="2555"/>
        <v>0</v>
      </c>
      <c r="H2172" s="199"/>
      <c r="I2172" s="199"/>
      <c r="J2172" s="200"/>
      <c r="K2172" s="201"/>
      <c r="L2172" s="276"/>
      <c r="M2172" s="276"/>
      <c r="N2172" s="235">
        <v>90629</v>
      </c>
      <c r="O2172" s="235">
        <v>37667</v>
      </c>
      <c r="P2172" s="235">
        <v>66169</v>
      </c>
      <c r="Q2172" s="235">
        <v>4353</v>
      </c>
      <c r="R2172" s="235">
        <v>47296</v>
      </c>
      <c r="S2172" s="236">
        <v>10978.7</v>
      </c>
      <c r="T2172" s="236">
        <v>1238.5</v>
      </c>
      <c r="U2172" s="236">
        <v>169</v>
      </c>
      <c r="V2172" s="235">
        <v>150191</v>
      </c>
      <c r="W2172" s="235">
        <v>51181</v>
      </c>
      <c r="X2172" s="235">
        <v>48551</v>
      </c>
      <c r="Y2172" s="235">
        <v>92778</v>
      </c>
      <c r="Z2172" s="235">
        <v>90186</v>
      </c>
    </row>
    <row r="2173" spans="1:31" ht="18" customHeight="1" x14ac:dyDescent="0.2">
      <c r="A2173" s="279">
        <f t="shared" si="2540"/>
        <v>45024</v>
      </c>
      <c r="B2173" s="279" t="s">
        <v>195</v>
      </c>
      <c r="C2173" s="299">
        <f t="shared" si="2551"/>
        <v>0</v>
      </c>
      <c r="D2173" s="300">
        <f t="shared" si="2552"/>
        <v>0</v>
      </c>
      <c r="E2173" s="301">
        <f t="shared" si="2553"/>
        <v>0</v>
      </c>
      <c r="F2173" s="301">
        <f t="shared" si="2554"/>
        <v>0</v>
      </c>
      <c r="G2173" s="302">
        <f t="shared" si="2555"/>
        <v>0</v>
      </c>
      <c r="H2173" s="199"/>
      <c r="I2173" s="199"/>
      <c r="J2173" s="200"/>
      <c r="K2173" s="201"/>
      <c r="L2173" s="276"/>
      <c r="M2173" s="276"/>
      <c r="N2173" s="153">
        <v>90629</v>
      </c>
      <c r="O2173" s="153">
        <v>37667</v>
      </c>
      <c r="P2173" s="153">
        <v>66169</v>
      </c>
      <c r="Q2173" s="153">
        <v>4353</v>
      </c>
      <c r="R2173" s="153">
        <v>47296</v>
      </c>
      <c r="S2173" s="154">
        <v>10978.7</v>
      </c>
      <c r="T2173" s="154">
        <v>1238.5</v>
      </c>
      <c r="U2173" s="154">
        <v>169</v>
      </c>
      <c r="V2173" s="153">
        <v>150191</v>
      </c>
      <c r="W2173" s="153">
        <v>51181</v>
      </c>
      <c r="X2173" s="153">
        <v>48551</v>
      </c>
      <c r="Y2173" s="153">
        <v>92778</v>
      </c>
      <c r="Z2173" s="153">
        <v>90186</v>
      </c>
    </row>
    <row r="2174" spans="1:31" ht="18" customHeight="1" x14ac:dyDescent="0.2">
      <c r="A2174" s="279">
        <f t="shared" si="2540"/>
        <v>45025</v>
      </c>
      <c r="B2174" s="278" t="s">
        <v>190</v>
      </c>
      <c r="C2174" s="299">
        <f t="shared" si="2551"/>
        <v>2310</v>
      </c>
      <c r="D2174" s="300">
        <f t="shared" si="2552"/>
        <v>496</v>
      </c>
      <c r="E2174" s="301">
        <f t="shared" si="2553"/>
        <v>2023.9999999999691</v>
      </c>
      <c r="F2174" s="301">
        <f t="shared" si="2554"/>
        <v>138</v>
      </c>
      <c r="G2174" s="302">
        <f t="shared" si="2555"/>
        <v>4967.9999999999691</v>
      </c>
      <c r="H2174" s="199"/>
      <c r="I2174" s="199"/>
      <c r="J2174" s="200"/>
      <c r="K2174" s="201"/>
      <c r="L2174" s="276"/>
      <c r="M2174" s="276"/>
      <c r="N2174" s="153">
        <v>90629</v>
      </c>
      <c r="O2174" s="153">
        <v>37667</v>
      </c>
      <c r="P2174" s="153">
        <v>66169</v>
      </c>
      <c r="Q2174" s="153">
        <v>4353</v>
      </c>
      <c r="R2174" s="153">
        <v>47296</v>
      </c>
      <c r="S2174" s="154">
        <v>10978.7</v>
      </c>
      <c r="T2174" s="154">
        <v>1238.5</v>
      </c>
      <c r="U2174" s="154">
        <v>169</v>
      </c>
      <c r="V2174" s="153">
        <v>150191</v>
      </c>
      <c r="W2174" s="153">
        <v>51181</v>
      </c>
      <c r="X2174" s="153">
        <v>48551</v>
      </c>
      <c r="Y2174" s="153">
        <v>92778</v>
      </c>
      <c r="Z2174" s="153">
        <v>90186</v>
      </c>
    </row>
    <row r="2175" spans="1:31" ht="18" customHeight="1" x14ac:dyDescent="0.2">
      <c r="A2175" s="279">
        <f t="shared" si="2540"/>
        <v>45026</v>
      </c>
      <c r="B2175" s="280" t="s">
        <v>191</v>
      </c>
      <c r="C2175" s="299">
        <f t="shared" si="2551"/>
        <v>1624</v>
      </c>
      <c r="D2175" s="300">
        <f t="shared" si="2552"/>
        <v>520</v>
      </c>
      <c r="E2175" s="301">
        <f t="shared" si="2553"/>
        <v>1351.9999999999459</v>
      </c>
      <c r="F2175" s="301">
        <f t="shared" si="2554"/>
        <v>77</v>
      </c>
      <c r="G2175" s="302">
        <f t="shared" si="2555"/>
        <v>3572.9999999999459</v>
      </c>
      <c r="H2175" s="199"/>
      <c r="I2175" s="199"/>
      <c r="J2175" s="200"/>
      <c r="K2175" s="201"/>
      <c r="L2175" s="276"/>
      <c r="M2175" s="276"/>
      <c r="N2175" s="235">
        <v>90683</v>
      </c>
      <c r="O2175" s="235">
        <v>37687</v>
      </c>
      <c r="P2175" s="235">
        <v>66177</v>
      </c>
      <c r="Q2175" s="235">
        <v>4392</v>
      </c>
      <c r="R2175" s="235">
        <v>47296</v>
      </c>
      <c r="S2175" s="236">
        <v>11002.1</v>
      </c>
      <c r="T2175" s="236">
        <v>1239.3</v>
      </c>
      <c r="U2175" s="236">
        <v>170.5</v>
      </c>
      <c r="V2175" s="235">
        <v>150573</v>
      </c>
      <c r="W2175" s="235">
        <v>51221</v>
      </c>
      <c r="X2175" s="235">
        <v>48605</v>
      </c>
      <c r="Y2175" s="235">
        <v>92778</v>
      </c>
      <c r="Z2175" s="235">
        <v>90324</v>
      </c>
    </row>
    <row r="2176" spans="1:31" ht="18" customHeight="1" x14ac:dyDescent="0.2">
      <c r="A2176" s="279">
        <f t="shared" si="2540"/>
        <v>45027</v>
      </c>
      <c r="B2176" s="280" t="s">
        <v>192</v>
      </c>
      <c r="C2176" s="299">
        <f t="shared" si="2551"/>
        <v>1634</v>
      </c>
      <c r="D2176" s="300">
        <f t="shared" si="2552"/>
        <v>512</v>
      </c>
      <c r="E2176" s="301">
        <f t="shared" si="2553"/>
        <v>1404.0000000000873</v>
      </c>
      <c r="F2176" s="301">
        <f t="shared" si="2554"/>
        <v>57</v>
      </c>
      <c r="G2176" s="302">
        <f t="shared" si="2555"/>
        <v>3607.0000000000873</v>
      </c>
      <c r="H2176" s="199"/>
      <c r="I2176" s="199"/>
      <c r="J2176" s="200"/>
      <c r="K2176" s="201"/>
      <c r="L2176" s="276"/>
      <c r="M2176" s="276"/>
      <c r="N2176" s="235">
        <v>90738</v>
      </c>
      <c r="O2176" s="235">
        <v>37708</v>
      </c>
      <c r="P2176" s="235">
        <v>66187</v>
      </c>
      <c r="Q2176" s="235">
        <v>4429</v>
      </c>
      <c r="R2176" s="235">
        <v>47296</v>
      </c>
      <c r="S2176" s="236">
        <v>11017.4</v>
      </c>
      <c r="T2176" s="236">
        <v>1239.7</v>
      </c>
      <c r="U2176" s="236">
        <v>171.9</v>
      </c>
      <c r="V2176" s="235">
        <v>150733</v>
      </c>
      <c r="W2176" s="235">
        <v>51248</v>
      </c>
      <c r="X2176" s="235">
        <v>48655</v>
      </c>
      <c r="Y2176" s="235">
        <v>92778</v>
      </c>
      <c r="Z2176" s="235">
        <v>90401</v>
      </c>
    </row>
    <row r="2177" spans="1:26" ht="18" customHeight="1" x14ac:dyDescent="0.2">
      <c r="A2177" s="279">
        <f t="shared" si="2540"/>
        <v>45028</v>
      </c>
      <c r="B2177" s="280" t="s">
        <v>193</v>
      </c>
      <c r="C2177" s="299">
        <f t="shared" si="2551"/>
        <v>1812</v>
      </c>
      <c r="D2177" s="300">
        <f t="shared" si="2552"/>
        <v>520</v>
      </c>
      <c r="E2177" s="301">
        <f t="shared" si="2553"/>
        <v>1539.9999999999977</v>
      </c>
      <c r="F2177" s="301">
        <f t="shared" si="2554"/>
        <v>54</v>
      </c>
      <c r="G2177" s="302">
        <f t="shared" si="2555"/>
        <v>3925.9999999999977</v>
      </c>
      <c r="H2177" s="199"/>
      <c r="I2177" s="199"/>
      <c r="J2177" s="200"/>
      <c r="K2177" s="201"/>
      <c r="L2177" s="276"/>
      <c r="M2177" s="276"/>
      <c r="N2177" s="235">
        <v>90792</v>
      </c>
      <c r="O2177" s="235">
        <v>37728</v>
      </c>
      <c r="P2177" s="235">
        <v>66197</v>
      </c>
      <c r="Q2177" s="235">
        <v>4466</v>
      </c>
      <c r="R2177" s="235">
        <v>47296</v>
      </c>
      <c r="S2177" s="236">
        <v>11033.2</v>
      </c>
      <c r="T2177" s="236">
        <v>1240.2</v>
      </c>
      <c r="U2177" s="236">
        <v>173.4</v>
      </c>
      <c r="V2177" s="235">
        <v>150891</v>
      </c>
      <c r="W2177" s="235">
        <v>51278</v>
      </c>
      <c r="X2177" s="235">
        <v>48698</v>
      </c>
      <c r="Y2177" s="235">
        <v>92778</v>
      </c>
      <c r="Z2177" s="235">
        <v>90458</v>
      </c>
    </row>
    <row r="2178" spans="1:26" ht="18" customHeight="1" x14ac:dyDescent="0.2">
      <c r="A2178" s="279">
        <f t="shared" si="2540"/>
        <v>45029</v>
      </c>
      <c r="B2178" s="280" t="s">
        <v>194</v>
      </c>
      <c r="C2178" s="299">
        <f t="shared" si="2551"/>
        <v>2032</v>
      </c>
      <c r="D2178" s="300">
        <f t="shared" si="2552"/>
        <v>536</v>
      </c>
      <c r="E2178" s="301">
        <f t="shared" si="2553"/>
        <v>1815.9999999998877</v>
      </c>
      <c r="F2178" s="301">
        <f t="shared" si="2554"/>
        <v>41</v>
      </c>
      <c r="G2178" s="302">
        <f t="shared" si="2555"/>
        <v>4424.9999999998872</v>
      </c>
      <c r="H2178" s="199"/>
      <c r="I2178" s="199"/>
      <c r="J2178" s="200"/>
      <c r="K2178" s="201"/>
      <c r="L2178" s="276"/>
      <c r="M2178" s="276"/>
      <c r="N2178" s="235">
        <v>90848</v>
      </c>
      <c r="O2178" s="235">
        <v>37748</v>
      </c>
      <c r="P2178" s="235">
        <v>66206</v>
      </c>
      <c r="Q2178" s="235">
        <v>4501</v>
      </c>
      <c r="R2178" s="235">
        <v>47296</v>
      </c>
      <c r="S2178" s="236">
        <v>11048.2</v>
      </c>
      <c r="T2178" s="236">
        <v>1240.5</v>
      </c>
      <c r="U2178" s="236">
        <v>177.5</v>
      </c>
      <c r="V2178" s="235">
        <v>151051</v>
      </c>
      <c r="W2178" s="235">
        <v>51309</v>
      </c>
      <c r="X2178" s="235">
        <v>48753</v>
      </c>
      <c r="Y2178" s="235">
        <v>92778</v>
      </c>
      <c r="Z2178" s="235">
        <v>90512</v>
      </c>
    </row>
    <row r="2179" spans="1:26" ht="18" customHeight="1" x14ac:dyDescent="0.2">
      <c r="A2179" s="279">
        <f t="shared" si="2540"/>
        <v>45030</v>
      </c>
      <c r="B2179" s="278" t="s">
        <v>189</v>
      </c>
      <c r="C2179" s="299">
        <f t="shared" si="2551"/>
        <v>0</v>
      </c>
      <c r="D2179" s="300">
        <f t="shared" si="2552"/>
        <v>0</v>
      </c>
      <c r="E2179" s="301">
        <f t="shared" si="2553"/>
        <v>0</v>
      </c>
      <c r="F2179" s="301">
        <f t="shared" si="2554"/>
        <v>0</v>
      </c>
      <c r="G2179" s="302">
        <f t="shared" si="2555"/>
        <v>0</v>
      </c>
      <c r="H2179" s="199"/>
      <c r="I2179" s="199"/>
      <c r="J2179" s="200"/>
      <c r="K2179" s="201"/>
      <c r="L2179" s="276"/>
      <c r="M2179" s="276"/>
      <c r="N2179" s="235">
        <v>90905</v>
      </c>
      <c r="O2179" s="235">
        <v>37770</v>
      </c>
      <c r="P2179" s="235">
        <v>66216</v>
      </c>
      <c r="Q2179" s="235">
        <v>4538</v>
      </c>
      <c r="R2179" s="235">
        <v>47296</v>
      </c>
      <c r="S2179" s="236">
        <v>11064.8</v>
      </c>
      <c r="T2179" s="236">
        <v>1240.9000000000001</v>
      </c>
      <c r="U2179" s="236">
        <v>183.4</v>
      </c>
      <c r="V2179" s="235">
        <v>151227</v>
      </c>
      <c r="W2179" s="235">
        <v>51346</v>
      </c>
      <c r="X2179" s="235">
        <v>48809</v>
      </c>
      <c r="Y2179" s="235">
        <v>92778</v>
      </c>
      <c r="Z2179" s="235">
        <v>90553</v>
      </c>
    </row>
    <row r="2180" spans="1:26" ht="18" customHeight="1" x14ac:dyDescent="0.2">
      <c r="A2180" s="279">
        <f t="shared" si="2540"/>
        <v>45031</v>
      </c>
      <c r="B2180" s="279" t="s">
        <v>195</v>
      </c>
      <c r="C2180" s="299">
        <f t="shared" si="2551"/>
        <v>0</v>
      </c>
      <c r="D2180" s="300">
        <f t="shared" si="2552"/>
        <v>0</v>
      </c>
      <c r="E2180" s="301">
        <f t="shared" si="2553"/>
        <v>0</v>
      </c>
      <c r="F2180" s="301">
        <f t="shared" si="2554"/>
        <v>0</v>
      </c>
      <c r="G2180" s="302">
        <f t="shared" si="2555"/>
        <v>0</v>
      </c>
      <c r="H2180" s="199"/>
      <c r="I2180" s="199"/>
      <c r="J2180" s="200"/>
      <c r="K2180" s="201"/>
      <c r="L2180" s="276"/>
      <c r="M2180" s="276"/>
      <c r="N2180" s="153">
        <v>90905</v>
      </c>
      <c r="O2180" s="153">
        <v>37770</v>
      </c>
      <c r="P2180" s="153">
        <v>66216</v>
      </c>
      <c r="Q2180" s="153">
        <v>4538</v>
      </c>
      <c r="R2180" s="153">
        <v>47296</v>
      </c>
      <c r="S2180" s="154">
        <v>11064.8</v>
      </c>
      <c r="T2180" s="154">
        <v>1240.9000000000001</v>
      </c>
      <c r="U2180" s="154">
        <v>183.4</v>
      </c>
      <c r="V2180" s="153">
        <v>151227</v>
      </c>
      <c r="W2180" s="153">
        <v>51346</v>
      </c>
      <c r="X2180" s="153">
        <v>48809</v>
      </c>
      <c r="Y2180" s="153">
        <v>92778</v>
      </c>
      <c r="Z2180" s="153">
        <v>90553</v>
      </c>
    </row>
    <row r="2181" spans="1:26" ht="18" customHeight="1" x14ac:dyDescent="0.2">
      <c r="A2181" s="279">
        <f t="shared" si="2540"/>
        <v>45032</v>
      </c>
      <c r="B2181" s="278" t="s">
        <v>190</v>
      </c>
      <c r="C2181" s="299">
        <f t="shared" si="2551"/>
        <v>2384</v>
      </c>
      <c r="D2181" s="300">
        <f t="shared" si="2552"/>
        <v>472</v>
      </c>
      <c r="E2181" s="301">
        <f t="shared" si="2553"/>
        <v>1956.0000000001128</v>
      </c>
      <c r="F2181" s="301">
        <f t="shared" si="2554"/>
        <v>167</v>
      </c>
      <c r="G2181" s="302">
        <f t="shared" si="2555"/>
        <v>4979.0000000001128</v>
      </c>
      <c r="H2181" s="199"/>
      <c r="I2181" s="199"/>
      <c r="J2181" s="200"/>
      <c r="K2181" s="201"/>
      <c r="L2181" s="276"/>
      <c r="M2181" s="276"/>
      <c r="N2181" s="153">
        <v>90905</v>
      </c>
      <c r="O2181" s="153">
        <v>37770</v>
      </c>
      <c r="P2181" s="153">
        <v>66216</v>
      </c>
      <c r="Q2181" s="153">
        <v>4538</v>
      </c>
      <c r="R2181" s="153">
        <v>47296</v>
      </c>
      <c r="S2181" s="154">
        <v>11064.8</v>
      </c>
      <c r="T2181" s="154">
        <v>1240.9000000000001</v>
      </c>
      <c r="U2181" s="154">
        <v>183.4</v>
      </c>
      <c r="V2181" s="153">
        <v>151227</v>
      </c>
      <c r="W2181" s="153">
        <v>51346</v>
      </c>
      <c r="X2181" s="153">
        <v>48809</v>
      </c>
      <c r="Y2181" s="153">
        <v>92778</v>
      </c>
      <c r="Z2181" s="153">
        <v>90553</v>
      </c>
    </row>
    <row r="2182" spans="1:26" ht="18" customHeight="1" x14ac:dyDescent="0.2">
      <c r="A2182" s="279">
        <f t="shared" si="2540"/>
        <v>45033</v>
      </c>
      <c r="B2182" s="280" t="s">
        <v>191</v>
      </c>
      <c r="C2182" s="299">
        <f t="shared" ref="C2182:C2188" si="2556">(V2183-V2182)*1+(W2183-W2182)*32+(X2183-X2182)*12+(Y2183-Y2182)*6</f>
        <v>2445</v>
      </c>
      <c r="D2182" s="300">
        <f t="shared" ref="D2182:D2188" si="2557">(N2183-N2182)*8+(P2183-P2182)*8+(R2183-R2182)*1</f>
        <v>480</v>
      </c>
      <c r="E2182" s="301">
        <f t="shared" ref="E2182:E2188" si="2558">(S2183-S2182)*80+(T2183-T2182)*40+(U2183-U2182)*80</f>
        <v>1683.9999999999691</v>
      </c>
      <c r="F2182" s="301">
        <f t="shared" ref="F2182:F2188" si="2559">(Z2183-Z2182)*1</f>
        <v>54</v>
      </c>
      <c r="G2182" s="302">
        <f t="shared" ref="G2182:G2188" si="2560">C2182+D2182+F2182+E2182</f>
        <v>4662.9999999999691</v>
      </c>
      <c r="H2182" s="199"/>
      <c r="I2182" s="199"/>
      <c r="J2182" s="200"/>
      <c r="K2182" s="201"/>
      <c r="L2182" s="276"/>
      <c r="M2182" s="276"/>
      <c r="N2182" s="235">
        <v>90956</v>
      </c>
      <c r="O2182" s="235">
        <v>37789</v>
      </c>
      <c r="P2182" s="235">
        <v>66224</v>
      </c>
      <c r="Q2182" s="235">
        <v>4572</v>
      </c>
      <c r="R2182" s="235">
        <v>47296</v>
      </c>
      <c r="S2182" s="236">
        <v>11086.2</v>
      </c>
      <c r="T2182" s="236">
        <v>1242</v>
      </c>
      <c r="U2182" s="236">
        <v>185.9</v>
      </c>
      <c r="V2182" s="235">
        <v>151647</v>
      </c>
      <c r="W2182" s="235">
        <v>51392</v>
      </c>
      <c r="X2182" s="235">
        <v>48850</v>
      </c>
      <c r="Y2182" s="235">
        <v>92778</v>
      </c>
      <c r="Z2182" s="235">
        <v>90720</v>
      </c>
    </row>
    <row r="2183" spans="1:26" ht="18" customHeight="1" x14ac:dyDescent="0.2">
      <c r="A2183" s="279">
        <f t="shared" si="2540"/>
        <v>45034</v>
      </c>
      <c r="B2183" s="280" t="s">
        <v>192</v>
      </c>
      <c r="C2183" s="299">
        <f t="shared" si="2556"/>
        <v>1927</v>
      </c>
      <c r="D2183" s="300">
        <f t="shared" si="2557"/>
        <v>368</v>
      </c>
      <c r="E2183" s="301">
        <f t="shared" si="2558"/>
        <v>1599.999999999975</v>
      </c>
      <c r="F2183" s="301">
        <f t="shared" si="2559"/>
        <v>44</v>
      </c>
      <c r="G2183" s="302">
        <f t="shared" si="2560"/>
        <v>3938.999999999975</v>
      </c>
      <c r="H2183" s="199"/>
      <c r="I2183" s="199"/>
      <c r="J2183" s="200"/>
      <c r="K2183" s="201"/>
      <c r="L2183" s="276"/>
      <c r="M2183" s="276"/>
      <c r="N2183" s="235">
        <v>91009</v>
      </c>
      <c r="O2183" s="235">
        <v>37808</v>
      </c>
      <c r="P2183" s="235">
        <v>66231</v>
      </c>
      <c r="Q2183" s="235">
        <v>4597</v>
      </c>
      <c r="R2183" s="235">
        <v>47296</v>
      </c>
      <c r="S2183" s="236">
        <v>11103.6</v>
      </c>
      <c r="T2183" s="236">
        <v>1242.3</v>
      </c>
      <c r="U2183" s="236">
        <v>189.4</v>
      </c>
      <c r="V2183" s="235">
        <v>151832</v>
      </c>
      <c r="W2183" s="235">
        <v>51436</v>
      </c>
      <c r="X2183" s="235">
        <v>48921</v>
      </c>
      <c r="Y2183" s="235">
        <v>92778</v>
      </c>
      <c r="Z2183" s="235">
        <v>90774</v>
      </c>
    </row>
    <row r="2184" spans="1:26" ht="18" customHeight="1" x14ac:dyDescent="0.2">
      <c r="A2184" s="279">
        <f t="shared" si="2540"/>
        <v>45035</v>
      </c>
      <c r="B2184" s="280" t="s">
        <v>193</v>
      </c>
      <c r="C2184" s="299">
        <f t="shared" si="2556"/>
        <v>2018</v>
      </c>
      <c r="D2184" s="300">
        <f t="shared" si="2557"/>
        <v>376</v>
      </c>
      <c r="E2184" s="301">
        <f t="shared" si="2558"/>
        <v>1448.0000000000518</v>
      </c>
      <c r="F2184" s="301">
        <f t="shared" si="2559"/>
        <v>52</v>
      </c>
      <c r="G2184" s="302">
        <f t="shared" si="2560"/>
        <v>3894.0000000000518</v>
      </c>
      <c r="H2184" s="199"/>
      <c r="I2184" s="199"/>
      <c r="J2184" s="200"/>
      <c r="K2184" s="201"/>
      <c r="L2184" s="276"/>
      <c r="M2184" s="276"/>
      <c r="N2184" s="235">
        <v>91049</v>
      </c>
      <c r="O2184" s="235">
        <v>37823</v>
      </c>
      <c r="P2184" s="235">
        <v>66237</v>
      </c>
      <c r="Q2184" s="235">
        <v>4621</v>
      </c>
      <c r="R2184" s="235">
        <v>47296</v>
      </c>
      <c r="S2184" s="236">
        <v>11120.5</v>
      </c>
      <c r="T2184" s="236">
        <v>1242.7</v>
      </c>
      <c r="U2184" s="236">
        <v>192.3</v>
      </c>
      <c r="V2184" s="235">
        <v>152007</v>
      </c>
      <c r="W2184" s="235">
        <v>51472</v>
      </c>
      <c r="X2184" s="235">
        <v>48971</v>
      </c>
      <c r="Y2184" s="235">
        <v>92778</v>
      </c>
      <c r="Z2184" s="235">
        <v>90818</v>
      </c>
    </row>
    <row r="2185" spans="1:26" ht="18" customHeight="1" x14ac:dyDescent="0.2">
      <c r="A2185" s="279">
        <f t="shared" si="2540"/>
        <v>45036</v>
      </c>
      <c r="B2185" s="280" t="s">
        <v>194</v>
      </c>
      <c r="C2185" s="299">
        <f t="shared" si="2556"/>
        <v>1791</v>
      </c>
      <c r="D2185" s="300">
        <f t="shared" si="2557"/>
        <v>408</v>
      </c>
      <c r="E2185" s="301">
        <f t="shared" si="2558"/>
        <v>919.99999999994543</v>
      </c>
      <c r="F2185" s="301">
        <f t="shared" si="2559"/>
        <v>58</v>
      </c>
      <c r="G2185" s="302">
        <f t="shared" si="2560"/>
        <v>3176.9999999999454</v>
      </c>
      <c r="H2185" s="199"/>
      <c r="I2185" s="199"/>
      <c r="J2185" s="200"/>
      <c r="K2185" s="201"/>
      <c r="L2185" s="276"/>
      <c r="M2185" s="276"/>
      <c r="N2185" s="235">
        <v>91090</v>
      </c>
      <c r="O2185" s="235">
        <v>37838</v>
      </c>
      <c r="P2185" s="235">
        <v>66243</v>
      </c>
      <c r="Q2185" s="235">
        <v>4644</v>
      </c>
      <c r="R2185" s="235">
        <v>47296</v>
      </c>
      <c r="S2185" s="236">
        <v>11136.2</v>
      </c>
      <c r="T2185" s="236">
        <v>1243.0999999999999</v>
      </c>
      <c r="U2185" s="236">
        <v>194.5</v>
      </c>
      <c r="V2185" s="235">
        <v>152181</v>
      </c>
      <c r="W2185" s="235">
        <v>51509</v>
      </c>
      <c r="X2185" s="235">
        <v>49026</v>
      </c>
      <c r="Y2185" s="235">
        <v>92778</v>
      </c>
      <c r="Z2185" s="235">
        <v>90870</v>
      </c>
    </row>
    <row r="2186" spans="1:26" ht="18" customHeight="1" x14ac:dyDescent="0.2">
      <c r="A2186" s="279">
        <f t="shared" si="2540"/>
        <v>45037</v>
      </c>
      <c r="B2186" s="278" t="s">
        <v>189</v>
      </c>
      <c r="C2186" s="299">
        <f t="shared" si="2556"/>
        <v>0</v>
      </c>
      <c r="D2186" s="300">
        <f t="shared" si="2557"/>
        <v>0</v>
      </c>
      <c r="E2186" s="301">
        <f t="shared" si="2558"/>
        <v>0</v>
      </c>
      <c r="F2186" s="301">
        <f t="shared" si="2559"/>
        <v>0</v>
      </c>
      <c r="G2186" s="302">
        <f t="shared" si="2560"/>
        <v>0</v>
      </c>
      <c r="H2186" s="199"/>
      <c r="I2186" s="199"/>
      <c r="J2186" s="200"/>
      <c r="K2186" s="201"/>
      <c r="L2186" s="276"/>
      <c r="M2186" s="276"/>
      <c r="N2186" s="235">
        <v>91135</v>
      </c>
      <c r="O2186" s="235">
        <v>37855</v>
      </c>
      <c r="P2186" s="235">
        <v>66249</v>
      </c>
      <c r="Q2186" s="235">
        <v>4670</v>
      </c>
      <c r="R2186" s="235">
        <v>47296</v>
      </c>
      <c r="S2186" s="236">
        <v>11145.5</v>
      </c>
      <c r="T2186" s="236">
        <v>1243.5</v>
      </c>
      <c r="U2186" s="236">
        <v>196.5</v>
      </c>
      <c r="V2186" s="235">
        <v>152348</v>
      </c>
      <c r="W2186" s="235">
        <v>51538</v>
      </c>
      <c r="X2186" s="235">
        <v>49084</v>
      </c>
      <c r="Y2186" s="235">
        <v>92778</v>
      </c>
      <c r="Z2186" s="235">
        <v>90928</v>
      </c>
    </row>
    <row r="2187" spans="1:26" ht="18" customHeight="1" x14ac:dyDescent="0.2">
      <c r="A2187" s="279">
        <f t="shared" si="2540"/>
        <v>45038</v>
      </c>
      <c r="B2187" s="279" t="s">
        <v>195</v>
      </c>
      <c r="C2187" s="299">
        <f t="shared" si="2556"/>
        <v>0</v>
      </c>
      <c r="D2187" s="300">
        <f t="shared" si="2557"/>
        <v>0</v>
      </c>
      <c r="E2187" s="301">
        <f t="shared" si="2558"/>
        <v>0</v>
      </c>
      <c r="F2187" s="301">
        <f t="shared" si="2559"/>
        <v>0</v>
      </c>
      <c r="G2187" s="302">
        <f t="shared" si="2560"/>
        <v>0</v>
      </c>
      <c r="H2187" s="199"/>
      <c r="I2187" s="199"/>
      <c r="J2187" s="200"/>
      <c r="K2187" s="201"/>
      <c r="L2187" s="276"/>
      <c r="M2187" s="276"/>
      <c r="N2187" s="293">
        <v>91135</v>
      </c>
      <c r="O2187" s="293">
        <v>37855</v>
      </c>
      <c r="P2187" s="293">
        <v>66249</v>
      </c>
      <c r="Q2187" s="293">
        <v>4670</v>
      </c>
      <c r="R2187" s="293">
        <v>47296</v>
      </c>
      <c r="S2187" s="294">
        <v>11145.5</v>
      </c>
      <c r="T2187" s="294">
        <v>1243.5</v>
      </c>
      <c r="U2187" s="294">
        <v>196.5</v>
      </c>
      <c r="V2187" s="293">
        <v>152348</v>
      </c>
      <c r="W2187" s="293">
        <v>51538</v>
      </c>
      <c r="X2187" s="293">
        <v>49084</v>
      </c>
      <c r="Y2187" s="293">
        <v>92778</v>
      </c>
      <c r="Z2187" s="293">
        <v>90928</v>
      </c>
    </row>
    <row r="2188" spans="1:26" ht="18" customHeight="1" x14ac:dyDescent="0.2">
      <c r="A2188" s="279">
        <f t="shared" si="2540"/>
        <v>45039</v>
      </c>
      <c r="B2188" s="278" t="s">
        <v>190</v>
      </c>
      <c r="C2188" s="299">
        <f t="shared" si="2556"/>
        <v>2968</v>
      </c>
      <c r="D2188" s="300">
        <f t="shared" si="2557"/>
        <v>416</v>
      </c>
      <c r="E2188" s="301">
        <f t="shared" si="2558"/>
        <v>1083.9999999999668</v>
      </c>
      <c r="F2188" s="301">
        <f t="shared" si="2559"/>
        <v>220</v>
      </c>
      <c r="G2188" s="302">
        <f t="shared" si="2560"/>
        <v>4687.9999999999673</v>
      </c>
      <c r="H2188" s="199"/>
      <c r="I2188" s="199"/>
      <c r="J2188" s="200"/>
      <c r="K2188" s="201"/>
      <c r="L2188" s="276"/>
      <c r="M2188" s="276"/>
      <c r="N2188" s="293">
        <v>91135</v>
      </c>
      <c r="O2188" s="293">
        <v>37855</v>
      </c>
      <c r="P2188" s="293">
        <v>66249</v>
      </c>
      <c r="Q2188" s="293">
        <v>4670</v>
      </c>
      <c r="R2188" s="293">
        <v>47296</v>
      </c>
      <c r="S2188" s="294">
        <v>11145.5</v>
      </c>
      <c r="T2188" s="294">
        <v>1243.5</v>
      </c>
      <c r="U2188" s="294">
        <v>196.5</v>
      </c>
      <c r="V2188" s="293">
        <v>152348</v>
      </c>
      <c r="W2188" s="293">
        <v>51538</v>
      </c>
      <c r="X2188" s="293">
        <v>49084</v>
      </c>
      <c r="Y2188" s="293">
        <v>92778</v>
      </c>
      <c r="Z2188" s="293">
        <v>90928</v>
      </c>
    </row>
    <row r="2189" spans="1:26" ht="18" customHeight="1" x14ac:dyDescent="0.2">
      <c r="A2189" s="279">
        <f t="shared" si="2540"/>
        <v>45040</v>
      </c>
      <c r="B2189" s="280" t="s">
        <v>191</v>
      </c>
      <c r="C2189" s="299">
        <f t="shared" ref="C2189:C2197" si="2561">(V2190-V2189)*1+(W2190-W2189)*32+(X2190-X2189)*12+(Y2190-Y2189)*6</f>
        <v>2162</v>
      </c>
      <c r="D2189" s="300">
        <f t="shared" ref="D2189:D2197" si="2562">(N2190-N2189)*8+(P2190-P2189)*8+(R2190-R2189)*1</f>
        <v>440</v>
      </c>
      <c r="E2189" s="301">
        <f t="shared" ref="E2189:E2197" si="2563">(S2190-S2189)*80+(T2190-T2189)*40+(U2190-U2189)*80</f>
        <v>1448.0000000000337</v>
      </c>
      <c r="F2189" s="301">
        <f t="shared" ref="F2189:F2197" si="2564">(Z2190-Z2189)*1</f>
        <v>63</v>
      </c>
      <c r="G2189" s="302">
        <f t="shared" ref="G2189:G2197" si="2565">C2189+D2189+F2189+E2189</f>
        <v>4113.0000000000337</v>
      </c>
      <c r="H2189" s="199"/>
      <c r="I2189" s="199"/>
      <c r="J2189" s="200"/>
      <c r="K2189" s="201"/>
      <c r="L2189" s="276"/>
      <c r="M2189" s="276"/>
      <c r="N2189" s="235">
        <v>91181</v>
      </c>
      <c r="O2189" s="235">
        <v>37871</v>
      </c>
      <c r="P2189" s="235">
        <v>66255</v>
      </c>
      <c r="Q2189" s="235">
        <v>4699</v>
      </c>
      <c r="R2189" s="235">
        <v>47296</v>
      </c>
      <c r="S2189" s="236">
        <v>11157.9</v>
      </c>
      <c r="T2189" s="236">
        <v>1244.5999999999999</v>
      </c>
      <c r="U2189" s="236">
        <v>197.1</v>
      </c>
      <c r="V2189" s="235">
        <v>152764</v>
      </c>
      <c r="W2189" s="235">
        <v>51593</v>
      </c>
      <c r="X2189" s="235">
        <v>49150</v>
      </c>
      <c r="Y2189" s="235">
        <v>92778</v>
      </c>
      <c r="Z2189" s="235">
        <v>91148</v>
      </c>
    </row>
    <row r="2190" spans="1:26" ht="18" customHeight="1" x14ac:dyDescent="0.2">
      <c r="A2190" s="279">
        <f t="shared" si="2540"/>
        <v>45041</v>
      </c>
      <c r="B2190" s="280" t="s">
        <v>192</v>
      </c>
      <c r="C2190" s="299">
        <f t="shared" si="2561"/>
        <v>2130</v>
      </c>
      <c r="D2190" s="300">
        <f t="shared" si="2562"/>
        <v>400</v>
      </c>
      <c r="E2190" s="301">
        <f t="shared" si="2563"/>
        <v>1375.9999999999741</v>
      </c>
      <c r="F2190" s="301">
        <f t="shared" si="2564"/>
        <v>102</v>
      </c>
      <c r="G2190" s="302">
        <f t="shared" si="2565"/>
        <v>4007.9999999999741</v>
      </c>
      <c r="H2190" s="199"/>
      <c r="I2190" s="199"/>
      <c r="J2190" s="200"/>
      <c r="K2190" s="201"/>
      <c r="L2190" s="276"/>
      <c r="M2190" s="276"/>
      <c r="N2190" s="235">
        <v>91229</v>
      </c>
      <c r="O2190" s="235">
        <v>37889</v>
      </c>
      <c r="P2190" s="235">
        <v>66262</v>
      </c>
      <c r="Q2190" s="235">
        <v>4727</v>
      </c>
      <c r="R2190" s="235">
        <v>47296</v>
      </c>
      <c r="S2190" s="236">
        <v>11172.5</v>
      </c>
      <c r="T2190" s="236">
        <v>1245</v>
      </c>
      <c r="U2190" s="236">
        <v>200.4</v>
      </c>
      <c r="V2190" s="235">
        <v>152922</v>
      </c>
      <c r="W2190" s="235">
        <v>51626</v>
      </c>
      <c r="X2190" s="235">
        <v>49229</v>
      </c>
      <c r="Y2190" s="235">
        <v>92778</v>
      </c>
      <c r="Z2190" s="235">
        <v>91211</v>
      </c>
    </row>
    <row r="2191" spans="1:26" ht="18" customHeight="1" x14ac:dyDescent="0.2">
      <c r="A2191" s="279">
        <f t="shared" si="2540"/>
        <v>45042</v>
      </c>
      <c r="B2191" s="280" t="s">
        <v>193</v>
      </c>
      <c r="C2191" s="299">
        <f t="shared" si="2561"/>
        <v>2131</v>
      </c>
      <c r="D2191" s="300">
        <f t="shared" si="2562"/>
        <v>368</v>
      </c>
      <c r="E2191" s="301">
        <f t="shared" si="2563"/>
        <v>1335.9999999999945</v>
      </c>
      <c r="F2191" s="301">
        <f t="shared" si="2564"/>
        <v>85</v>
      </c>
      <c r="G2191" s="302">
        <f t="shared" si="2565"/>
        <v>3919.9999999999945</v>
      </c>
      <c r="H2191" s="199"/>
      <c r="I2191" s="199"/>
      <c r="J2191" s="200"/>
      <c r="K2191" s="201"/>
      <c r="L2191" s="276"/>
      <c r="M2191" s="276"/>
      <c r="N2191" s="235">
        <v>91271</v>
      </c>
      <c r="O2191" s="235">
        <v>37905</v>
      </c>
      <c r="P2191" s="235">
        <v>66270</v>
      </c>
      <c r="Q2191" s="235">
        <v>4756</v>
      </c>
      <c r="R2191" s="235">
        <v>47296</v>
      </c>
      <c r="S2191" s="236">
        <v>11187.4</v>
      </c>
      <c r="T2191" s="236">
        <v>1245.4000000000001</v>
      </c>
      <c r="U2191" s="236">
        <v>202.5</v>
      </c>
      <c r="V2191" s="235">
        <v>153080</v>
      </c>
      <c r="W2191" s="235">
        <v>51658</v>
      </c>
      <c r="X2191" s="235">
        <v>49308</v>
      </c>
      <c r="Y2191" s="235">
        <v>92778</v>
      </c>
      <c r="Z2191" s="235">
        <v>91313</v>
      </c>
    </row>
    <row r="2192" spans="1:26" ht="18" customHeight="1" x14ac:dyDescent="0.2">
      <c r="A2192" s="279">
        <f t="shared" si="2540"/>
        <v>45043</v>
      </c>
      <c r="B2192" s="280" t="s">
        <v>194</v>
      </c>
      <c r="C2192" s="299">
        <f t="shared" si="2561"/>
        <v>1653</v>
      </c>
      <c r="D2192" s="300">
        <f t="shared" si="2562"/>
        <v>312</v>
      </c>
      <c r="E2192" s="301">
        <f t="shared" si="2563"/>
        <v>1379.9999999999704</v>
      </c>
      <c r="F2192" s="301">
        <f t="shared" si="2564"/>
        <v>82</v>
      </c>
      <c r="G2192" s="302">
        <f t="shared" si="2565"/>
        <v>3426.9999999999704</v>
      </c>
      <c r="H2192" s="199"/>
      <c r="I2192" s="199"/>
      <c r="J2192" s="200"/>
      <c r="K2192" s="201"/>
      <c r="L2192" s="276"/>
      <c r="M2192" s="276"/>
      <c r="N2192" s="235">
        <v>91310</v>
      </c>
      <c r="O2192" s="235">
        <v>37818</v>
      </c>
      <c r="P2192" s="235">
        <v>66277</v>
      </c>
      <c r="Q2192" s="235">
        <v>4784</v>
      </c>
      <c r="R2192" s="235">
        <v>47296</v>
      </c>
      <c r="S2192" s="236">
        <v>11202.4</v>
      </c>
      <c r="T2192" s="236">
        <v>1245.8</v>
      </c>
      <c r="U2192" s="236">
        <v>204</v>
      </c>
      <c r="V2192" s="235">
        <v>153239</v>
      </c>
      <c r="W2192" s="235">
        <v>51690</v>
      </c>
      <c r="X2192" s="235">
        <v>49387</v>
      </c>
      <c r="Y2192" s="235">
        <v>92778</v>
      </c>
      <c r="Z2192" s="235">
        <v>91398</v>
      </c>
    </row>
    <row r="2193" spans="1:26" ht="18" customHeight="1" x14ac:dyDescent="0.2">
      <c r="A2193" s="279">
        <f t="shared" si="2540"/>
        <v>45044</v>
      </c>
      <c r="B2193" s="278" t="s">
        <v>189</v>
      </c>
      <c r="C2193" s="299">
        <f t="shared" si="2561"/>
        <v>0</v>
      </c>
      <c r="D2193" s="300">
        <f t="shared" si="2562"/>
        <v>0</v>
      </c>
      <c r="E2193" s="301">
        <f t="shared" si="2563"/>
        <v>0</v>
      </c>
      <c r="F2193" s="301">
        <f t="shared" si="2564"/>
        <v>0</v>
      </c>
      <c r="G2193" s="302">
        <f t="shared" si="2565"/>
        <v>0</v>
      </c>
      <c r="H2193" s="199"/>
      <c r="I2193" s="199"/>
      <c r="J2193" s="200"/>
      <c r="K2193" s="201"/>
      <c r="L2193" s="276"/>
      <c r="M2193" s="276"/>
      <c r="N2193" s="235">
        <v>91342</v>
      </c>
      <c r="O2193" s="235">
        <v>37931</v>
      </c>
      <c r="P2193" s="235">
        <v>66284</v>
      </c>
      <c r="Q2193" s="235">
        <v>4811</v>
      </c>
      <c r="R2193" s="235">
        <v>47296</v>
      </c>
      <c r="S2193" s="236">
        <v>11217.3</v>
      </c>
      <c r="T2193" s="236">
        <v>1246.3</v>
      </c>
      <c r="U2193" s="236">
        <v>206.1</v>
      </c>
      <c r="V2193" s="235">
        <v>153400</v>
      </c>
      <c r="W2193" s="235">
        <v>51719</v>
      </c>
      <c r="X2193" s="235">
        <v>49434</v>
      </c>
      <c r="Y2193" s="235">
        <v>92778</v>
      </c>
      <c r="Z2193" s="235">
        <v>91480</v>
      </c>
    </row>
    <row r="2194" spans="1:26" ht="18" customHeight="1" x14ac:dyDescent="0.2">
      <c r="A2194" s="279">
        <f t="shared" si="2540"/>
        <v>45045</v>
      </c>
      <c r="B2194" s="279" t="s">
        <v>195</v>
      </c>
      <c r="C2194" s="299">
        <f t="shared" si="2561"/>
        <v>0</v>
      </c>
      <c r="D2194" s="300">
        <f t="shared" si="2562"/>
        <v>0</v>
      </c>
      <c r="E2194" s="301">
        <f t="shared" si="2563"/>
        <v>0</v>
      </c>
      <c r="F2194" s="301">
        <f t="shared" si="2564"/>
        <v>0</v>
      </c>
      <c r="G2194" s="302">
        <f t="shared" si="2565"/>
        <v>0</v>
      </c>
      <c r="H2194" s="199"/>
      <c r="I2194" s="199"/>
      <c r="J2194" s="200"/>
      <c r="K2194" s="201"/>
      <c r="L2194" s="276"/>
      <c r="M2194" s="276"/>
      <c r="N2194" s="288">
        <v>91342</v>
      </c>
      <c r="O2194" s="288">
        <v>37931</v>
      </c>
      <c r="P2194" s="288">
        <v>66284</v>
      </c>
      <c r="Q2194" s="288">
        <v>4811</v>
      </c>
      <c r="R2194" s="288">
        <v>47296</v>
      </c>
      <c r="S2194" s="289">
        <v>11217.3</v>
      </c>
      <c r="T2194" s="289">
        <v>1246.3</v>
      </c>
      <c r="U2194" s="289">
        <v>206.1</v>
      </c>
      <c r="V2194" s="288">
        <v>153400</v>
      </c>
      <c r="W2194" s="288">
        <v>51719</v>
      </c>
      <c r="X2194" s="288">
        <v>49434</v>
      </c>
      <c r="Y2194" s="288">
        <v>92778</v>
      </c>
      <c r="Z2194" s="288">
        <v>91480</v>
      </c>
    </row>
    <row r="2195" spans="1:26" ht="18" customHeight="1" x14ac:dyDescent="0.2">
      <c r="A2195" s="279">
        <f t="shared" si="2540"/>
        <v>45046</v>
      </c>
      <c r="B2195" s="278" t="s">
        <v>190</v>
      </c>
      <c r="C2195" s="299">
        <f t="shared" si="2561"/>
        <v>0</v>
      </c>
      <c r="D2195" s="300">
        <f t="shared" si="2562"/>
        <v>0</v>
      </c>
      <c r="E2195" s="301">
        <f t="shared" si="2563"/>
        <v>0</v>
      </c>
      <c r="F2195" s="301">
        <f t="shared" si="2564"/>
        <v>0</v>
      </c>
      <c r="G2195" s="302">
        <f t="shared" si="2565"/>
        <v>0</v>
      </c>
      <c r="H2195" s="199"/>
      <c r="I2195" s="199"/>
      <c r="J2195" s="200"/>
      <c r="K2195" s="201"/>
      <c r="L2195" s="276"/>
      <c r="M2195" s="276"/>
      <c r="N2195" s="288">
        <v>91342</v>
      </c>
      <c r="O2195" s="288">
        <v>37931</v>
      </c>
      <c r="P2195" s="288">
        <v>66284</v>
      </c>
      <c r="Q2195" s="288">
        <v>4811</v>
      </c>
      <c r="R2195" s="288">
        <v>47296</v>
      </c>
      <c r="S2195" s="289">
        <v>11217.3</v>
      </c>
      <c r="T2195" s="289">
        <v>1246.3</v>
      </c>
      <c r="U2195" s="289">
        <v>206.1</v>
      </c>
      <c r="V2195" s="288">
        <v>153400</v>
      </c>
      <c r="W2195" s="288">
        <v>51719</v>
      </c>
      <c r="X2195" s="288">
        <v>49434</v>
      </c>
      <c r="Y2195" s="288">
        <v>92778</v>
      </c>
      <c r="Z2195" s="288">
        <v>91480</v>
      </c>
    </row>
    <row r="2196" spans="1:26" ht="18" customHeight="1" x14ac:dyDescent="0.2">
      <c r="A2196" s="279">
        <f t="shared" si="2540"/>
        <v>45047</v>
      </c>
      <c r="B2196" s="280" t="s">
        <v>191</v>
      </c>
      <c r="C2196" s="299">
        <f t="shared" si="2561"/>
        <v>3022</v>
      </c>
      <c r="D2196" s="300">
        <f t="shared" si="2562"/>
        <v>288</v>
      </c>
      <c r="E2196" s="301">
        <f t="shared" si="2563"/>
        <v>1888.0000000000587</v>
      </c>
      <c r="F2196" s="301">
        <f t="shared" si="2564"/>
        <v>243</v>
      </c>
      <c r="G2196" s="302">
        <f t="shared" si="2565"/>
        <v>5441.0000000000582</v>
      </c>
      <c r="H2196" s="199"/>
      <c r="I2196" s="199"/>
      <c r="J2196" s="200"/>
      <c r="K2196" s="201"/>
      <c r="L2196" s="276"/>
      <c r="M2196" s="276"/>
      <c r="N2196" s="288">
        <v>91342</v>
      </c>
      <c r="O2196" s="288">
        <v>37931</v>
      </c>
      <c r="P2196" s="288">
        <v>66284</v>
      </c>
      <c r="Q2196" s="288">
        <v>4811</v>
      </c>
      <c r="R2196" s="288">
        <v>47296</v>
      </c>
      <c r="S2196" s="289">
        <v>11217.3</v>
      </c>
      <c r="T2196" s="289">
        <v>1246.3</v>
      </c>
      <c r="U2196" s="289">
        <v>206.1</v>
      </c>
      <c r="V2196" s="288">
        <v>153400</v>
      </c>
      <c r="W2196" s="288">
        <v>51719</v>
      </c>
      <c r="X2196" s="288">
        <v>49434</v>
      </c>
      <c r="Y2196" s="288">
        <v>92778</v>
      </c>
      <c r="Z2196" s="288">
        <v>91480</v>
      </c>
    </row>
    <row r="2197" spans="1:26" ht="18" customHeight="1" x14ac:dyDescent="0.2">
      <c r="A2197" s="279">
        <f t="shared" si="2540"/>
        <v>45048</v>
      </c>
      <c r="B2197" s="280" t="s">
        <v>192</v>
      </c>
      <c r="C2197" s="299">
        <f t="shared" si="2561"/>
        <v>2401</v>
      </c>
      <c r="D2197" s="300">
        <f t="shared" si="2562"/>
        <v>376</v>
      </c>
      <c r="E2197" s="301">
        <f t="shared" si="2563"/>
        <v>1335.9999999999445</v>
      </c>
      <c r="F2197" s="301">
        <f t="shared" si="2564"/>
        <v>50</v>
      </c>
      <c r="G2197" s="302">
        <f t="shared" si="2565"/>
        <v>4162.9999999999445</v>
      </c>
      <c r="H2197" s="199"/>
      <c r="I2197" s="199"/>
      <c r="J2197" s="200"/>
      <c r="K2197" s="201"/>
      <c r="L2197" s="276"/>
      <c r="M2197" s="276"/>
      <c r="N2197" s="235">
        <v>91372</v>
      </c>
      <c r="O2197" s="235">
        <v>37942</v>
      </c>
      <c r="P2197" s="235">
        <v>66290</v>
      </c>
      <c r="Q2197" s="235">
        <v>4844</v>
      </c>
      <c r="R2197" s="235">
        <v>47296</v>
      </c>
      <c r="S2197" s="236">
        <v>11237.5</v>
      </c>
      <c r="T2197" s="236">
        <v>1247.3</v>
      </c>
      <c r="U2197" s="236">
        <v>209</v>
      </c>
      <c r="V2197" s="235">
        <v>153954</v>
      </c>
      <c r="W2197" s="235">
        <v>51780</v>
      </c>
      <c r="X2197" s="235">
        <v>49477</v>
      </c>
      <c r="Y2197" s="235">
        <v>92778</v>
      </c>
      <c r="Z2197" s="235">
        <v>91723</v>
      </c>
    </row>
    <row r="2198" spans="1:26" ht="18" customHeight="1" x14ac:dyDescent="0.2">
      <c r="A2198" s="279">
        <f t="shared" si="2540"/>
        <v>45049</v>
      </c>
      <c r="B2198" s="280" t="s">
        <v>193</v>
      </c>
      <c r="C2198" s="299">
        <f t="shared" ref="C2198:C2202" si="2566">(V2199-V2198)*1+(W2199-W2198)*32+(X2199-X2198)*12+(Y2199-Y2198)*6</f>
        <v>2057</v>
      </c>
      <c r="D2198" s="300">
        <f t="shared" ref="D2198:D2202" si="2567">(N2199-N2198)*8+(P2199-P2198)*8+(R2199-R2198)*1</f>
        <v>360</v>
      </c>
      <c r="E2198" s="301">
        <f t="shared" ref="E2198:E2202" si="2568">(S2199-S2198)*80+(T2199-T2198)*40+(U2199-U2198)*80</f>
        <v>1640.000000000025</v>
      </c>
      <c r="F2198" s="301">
        <f t="shared" ref="F2198:F2202" si="2569">(Z2199-Z2198)*1</f>
        <v>49</v>
      </c>
      <c r="G2198" s="302">
        <f t="shared" ref="G2198:G2202" si="2570">C2198+D2198+F2198+E2198</f>
        <v>4106.0000000000255</v>
      </c>
      <c r="H2198" s="199"/>
      <c r="I2198" s="199"/>
      <c r="J2198" s="200"/>
      <c r="K2198" s="201"/>
      <c r="L2198" s="276"/>
      <c r="M2198" s="276"/>
      <c r="N2198" s="235">
        <v>91412</v>
      </c>
      <c r="O2198" s="235">
        <v>37957</v>
      </c>
      <c r="P2198" s="235">
        <v>66297</v>
      </c>
      <c r="Q2198" s="235">
        <v>4870</v>
      </c>
      <c r="R2198" s="235">
        <v>47296</v>
      </c>
      <c r="S2198" s="236">
        <v>11252.8</v>
      </c>
      <c r="T2198" s="236">
        <v>1247.7</v>
      </c>
      <c r="U2198" s="236">
        <v>210.2</v>
      </c>
      <c r="V2198" s="235">
        <v>154139</v>
      </c>
      <c r="W2198" s="235">
        <v>51826</v>
      </c>
      <c r="X2198" s="235">
        <v>49539</v>
      </c>
      <c r="Y2198" s="235">
        <v>92778</v>
      </c>
      <c r="Z2198" s="235">
        <v>91773</v>
      </c>
    </row>
    <row r="2199" spans="1:26" ht="18" customHeight="1" x14ac:dyDescent="0.2">
      <c r="A2199" s="279">
        <f t="shared" si="2540"/>
        <v>45050</v>
      </c>
      <c r="B2199" s="280" t="s">
        <v>194</v>
      </c>
      <c r="C2199" s="299">
        <f t="shared" si="2566"/>
        <v>2005</v>
      </c>
      <c r="D2199" s="300">
        <f t="shared" si="2567"/>
        <v>336</v>
      </c>
      <c r="E2199" s="301">
        <f t="shared" si="2568"/>
        <v>1352.0000000000323</v>
      </c>
      <c r="F2199" s="301">
        <f t="shared" si="2569"/>
        <v>49</v>
      </c>
      <c r="G2199" s="302">
        <f t="shared" si="2570"/>
        <v>3742.0000000000323</v>
      </c>
      <c r="H2199" s="199"/>
      <c r="I2199" s="199"/>
      <c r="J2199" s="200"/>
      <c r="K2199" s="201"/>
      <c r="L2199" s="276"/>
      <c r="M2199" s="276"/>
      <c r="N2199" s="235">
        <v>91450</v>
      </c>
      <c r="O2199" s="235">
        <v>37971</v>
      </c>
      <c r="P2199" s="235">
        <v>66304</v>
      </c>
      <c r="Q2199" s="235">
        <v>4894</v>
      </c>
      <c r="R2199" s="235">
        <v>47296</v>
      </c>
      <c r="S2199" s="236">
        <v>11269.4</v>
      </c>
      <c r="T2199" s="236">
        <v>1248.0999999999999</v>
      </c>
      <c r="U2199" s="236">
        <v>213.9</v>
      </c>
      <c r="V2199" s="235">
        <v>154320</v>
      </c>
      <c r="W2199" s="235">
        <v>51864</v>
      </c>
      <c r="X2199" s="235">
        <v>49594</v>
      </c>
      <c r="Y2199" s="235">
        <v>92778</v>
      </c>
      <c r="Z2199" s="235">
        <v>91822</v>
      </c>
    </row>
    <row r="2200" spans="1:26" ht="18" customHeight="1" x14ac:dyDescent="0.2">
      <c r="A2200" s="279">
        <f t="shared" si="2540"/>
        <v>45051</v>
      </c>
      <c r="B2200" s="278" t="s">
        <v>189</v>
      </c>
      <c r="C2200" s="299">
        <f t="shared" si="2566"/>
        <v>0</v>
      </c>
      <c r="D2200" s="300">
        <f t="shared" si="2567"/>
        <v>0</v>
      </c>
      <c r="E2200" s="301">
        <f t="shared" si="2568"/>
        <v>0</v>
      </c>
      <c r="F2200" s="301">
        <f t="shared" si="2569"/>
        <v>0</v>
      </c>
      <c r="G2200" s="302">
        <f t="shared" si="2570"/>
        <v>0</v>
      </c>
      <c r="H2200" s="199"/>
      <c r="I2200" s="199"/>
      <c r="J2200" s="200"/>
      <c r="K2200" s="201"/>
      <c r="L2200" s="276"/>
      <c r="M2200" s="276"/>
      <c r="N2200" s="235">
        <v>91485</v>
      </c>
      <c r="O2200" s="235">
        <v>37984</v>
      </c>
      <c r="P2200" s="235">
        <v>66311</v>
      </c>
      <c r="Q2200" s="235">
        <v>4920</v>
      </c>
      <c r="R2200" s="235">
        <v>47296</v>
      </c>
      <c r="S2200" s="236">
        <v>11284</v>
      </c>
      <c r="T2200" s="236">
        <v>1248.5</v>
      </c>
      <c r="U2200" s="236">
        <v>216</v>
      </c>
      <c r="V2200" s="235">
        <v>154501</v>
      </c>
      <c r="W2200" s="235">
        <v>51903</v>
      </c>
      <c r="X2200" s="235">
        <v>49642</v>
      </c>
      <c r="Y2200" s="235">
        <v>92778</v>
      </c>
      <c r="Z2200" s="235">
        <v>91871</v>
      </c>
    </row>
    <row r="2201" spans="1:26" ht="18" customHeight="1" x14ac:dyDescent="0.2">
      <c r="A2201" s="279">
        <f t="shared" si="2540"/>
        <v>45052</v>
      </c>
      <c r="B2201" s="279" t="s">
        <v>195</v>
      </c>
      <c r="C2201" s="299">
        <f t="shared" si="2566"/>
        <v>0</v>
      </c>
      <c r="D2201" s="300">
        <f t="shared" si="2567"/>
        <v>0</v>
      </c>
      <c r="E2201" s="301">
        <f t="shared" si="2568"/>
        <v>0</v>
      </c>
      <c r="F2201" s="301">
        <f t="shared" si="2569"/>
        <v>0</v>
      </c>
      <c r="G2201" s="302">
        <f t="shared" si="2570"/>
        <v>0</v>
      </c>
      <c r="H2201" s="199"/>
      <c r="I2201" s="199"/>
      <c r="J2201" s="200"/>
      <c r="K2201" s="201"/>
      <c r="L2201" s="276"/>
      <c r="M2201" s="276"/>
      <c r="N2201" s="153">
        <v>91485</v>
      </c>
      <c r="O2201" s="153">
        <v>37984</v>
      </c>
      <c r="P2201" s="153">
        <v>66311</v>
      </c>
      <c r="Q2201" s="153">
        <v>4920</v>
      </c>
      <c r="R2201" s="153">
        <v>47296</v>
      </c>
      <c r="S2201" s="154">
        <v>11284</v>
      </c>
      <c r="T2201" s="154">
        <v>1248.5</v>
      </c>
      <c r="U2201" s="154">
        <v>216</v>
      </c>
      <c r="V2201" s="153">
        <v>154501</v>
      </c>
      <c r="W2201" s="153">
        <v>51903</v>
      </c>
      <c r="X2201" s="153">
        <v>49642</v>
      </c>
      <c r="Y2201" s="153">
        <v>92778</v>
      </c>
      <c r="Z2201" s="153">
        <v>91871</v>
      </c>
    </row>
    <row r="2202" spans="1:26" ht="18" customHeight="1" x14ac:dyDescent="0.2">
      <c r="A2202" s="279">
        <f t="shared" si="2540"/>
        <v>45053</v>
      </c>
      <c r="B2202" s="278" t="s">
        <v>190</v>
      </c>
      <c r="C2202" s="299">
        <f t="shared" si="2566"/>
        <v>2608</v>
      </c>
      <c r="D2202" s="300">
        <f t="shared" si="2567"/>
        <v>344</v>
      </c>
      <c r="E2202" s="301">
        <f t="shared" si="2568"/>
        <v>1936.0000000000286</v>
      </c>
      <c r="F2202" s="301">
        <f t="shared" si="2569"/>
        <v>237</v>
      </c>
      <c r="G2202" s="302">
        <f t="shared" si="2570"/>
        <v>5125.0000000000291</v>
      </c>
      <c r="H2202" s="199"/>
      <c r="I2202" s="199"/>
      <c r="J2202" s="200"/>
      <c r="K2202" s="201"/>
      <c r="L2202" s="276"/>
      <c r="M2202" s="276"/>
      <c r="N2202" s="153">
        <v>91485</v>
      </c>
      <c r="O2202" s="153">
        <v>37984</v>
      </c>
      <c r="P2202" s="153">
        <v>66311</v>
      </c>
      <c r="Q2202" s="153">
        <v>4920</v>
      </c>
      <c r="R2202" s="153">
        <v>47296</v>
      </c>
      <c r="S2202" s="154">
        <v>11284</v>
      </c>
      <c r="T2202" s="154">
        <v>1248.5</v>
      </c>
      <c r="U2202" s="154">
        <v>216</v>
      </c>
      <c r="V2202" s="153">
        <v>154501</v>
      </c>
      <c r="W2202" s="153">
        <v>51903</v>
      </c>
      <c r="X2202" s="153">
        <v>49642</v>
      </c>
      <c r="Y2202" s="153">
        <v>92778</v>
      </c>
      <c r="Z2202" s="153">
        <v>91871</v>
      </c>
    </row>
    <row r="2203" spans="1:26" ht="18" customHeight="1" x14ac:dyDescent="0.2">
      <c r="A2203" s="279">
        <f t="shared" si="2540"/>
        <v>45054</v>
      </c>
      <c r="B2203" s="280" t="s">
        <v>191</v>
      </c>
      <c r="C2203" s="299">
        <f t="shared" ref="C2203:C2209" si="2571">(V2204-V2203)*1+(W2204-W2203)*32+(X2204-X2203)*12+(Y2204-Y2203)*6</f>
        <v>2085</v>
      </c>
      <c r="D2203" s="300">
        <f t="shared" ref="D2203:D2209" si="2572">(N2204-N2203)*8+(P2204-P2203)*8+(R2204-R2203)*1</f>
        <v>384</v>
      </c>
      <c r="E2203" s="301">
        <f t="shared" ref="E2203:E2209" si="2573">(S2204-S2203)*80+(T2204-T2203)*40+(U2204-U2203)*80</f>
        <v>1711.9999999999754</v>
      </c>
      <c r="F2203" s="301">
        <f t="shared" ref="F2203:F2209" si="2574">(Z2204-Z2203)*1</f>
        <v>62</v>
      </c>
      <c r="G2203" s="302">
        <f t="shared" ref="G2203:G2209" si="2575">C2203+D2203+F2203+E2203</f>
        <v>4242.9999999999754</v>
      </c>
      <c r="H2203" s="199"/>
      <c r="I2203" s="199"/>
      <c r="J2203" s="200"/>
      <c r="K2203" s="201"/>
      <c r="L2203" s="276"/>
      <c r="M2203" s="276"/>
      <c r="N2203" s="235">
        <v>91522</v>
      </c>
      <c r="O2203" s="235">
        <v>37997</v>
      </c>
      <c r="P2203" s="235">
        <v>66317</v>
      </c>
      <c r="Q2203" s="235">
        <v>4948</v>
      </c>
      <c r="R2203" s="235">
        <v>47296</v>
      </c>
      <c r="S2203" s="236">
        <v>11305.6</v>
      </c>
      <c r="T2203" s="236">
        <v>1249.5</v>
      </c>
      <c r="U2203" s="236">
        <v>218.1</v>
      </c>
      <c r="V2203" s="235">
        <v>154953</v>
      </c>
      <c r="W2203" s="235">
        <v>51955</v>
      </c>
      <c r="X2203" s="235">
        <v>49683</v>
      </c>
      <c r="Y2203" s="235">
        <v>92778</v>
      </c>
      <c r="Z2203" s="235">
        <v>92108</v>
      </c>
    </row>
    <row r="2204" spans="1:26" ht="18" customHeight="1" x14ac:dyDescent="0.2">
      <c r="A2204" s="279">
        <f t="shared" si="2540"/>
        <v>45055</v>
      </c>
      <c r="B2204" s="280" t="s">
        <v>192</v>
      </c>
      <c r="C2204" s="299">
        <f t="shared" si="2571"/>
        <v>1932</v>
      </c>
      <c r="D2204" s="300">
        <f t="shared" si="2572"/>
        <v>280</v>
      </c>
      <c r="E2204" s="301">
        <f t="shared" si="2573"/>
        <v>1315.9999999999422</v>
      </c>
      <c r="F2204" s="301">
        <f t="shared" si="2574"/>
        <v>67</v>
      </c>
      <c r="G2204" s="302">
        <f t="shared" si="2575"/>
        <v>3594.9999999999422</v>
      </c>
      <c r="H2204" s="199"/>
      <c r="I2204" s="199"/>
      <c r="J2204" s="200"/>
      <c r="K2204" s="201"/>
      <c r="L2204" s="276"/>
      <c r="M2204" s="276"/>
      <c r="N2204" s="235">
        <v>91565</v>
      </c>
      <c r="O2204" s="235">
        <v>38013</v>
      </c>
      <c r="P2204" s="235">
        <v>66322</v>
      </c>
      <c r="Q2204" s="235">
        <v>4971</v>
      </c>
      <c r="R2204" s="235">
        <v>47296</v>
      </c>
      <c r="S2204" s="236">
        <v>11322</v>
      </c>
      <c r="T2204" s="236">
        <v>1249.9000000000001</v>
      </c>
      <c r="U2204" s="236">
        <v>222.9</v>
      </c>
      <c r="V2204" s="235">
        <v>155110</v>
      </c>
      <c r="W2204" s="235">
        <v>51986</v>
      </c>
      <c r="X2204" s="235">
        <v>49761</v>
      </c>
      <c r="Y2204" s="235">
        <v>92778</v>
      </c>
      <c r="Z2204" s="235">
        <v>92170</v>
      </c>
    </row>
    <row r="2205" spans="1:26" ht="18" customHeight="1" x14ac:dyDescent="0.2">
      <c r="A2205" s="279">
        <f t="shared" si="2540"/>
        <v>45056</v>
      </c>
      <c r="B2205" s="280" t="s">
        <v>193</v>
      </c>
      <c r="C2205" s="299">
        <f t="shared" si="2571"/>
        <v>2010</v>
      </c>
      <c r="D2205" s="300">
        <f t="shared" si="2572"/>
        <v>240</v>
      </c>
      <c r="E2205" s="301">
        <f t="shared" si="2573"/>
        <v>1311.9999999999936</v>
      </c>
      <c r="F2205" s="301">
        <f t="shared" si="2574"/>
        <v>61</v>
      </c>
      <c r="G2205" s="302">
        <f t="shared" si="2575"/>
        <v>3622.9999999999936</v>
      </c>
      <c r="H2205" s="199"/>
      <c r="I2205" s="199"/>
      <c r="J2205" s="200"/>
      <c r="K2205" s="201"/>
      <c r="L2205" s="276"/>
      <c r="M2205" s="276"/>
      <c r="N2205" s="235">
        <v>91595</v>
      </c>
      <c r="O2205" s="235">
        <v>38024</v>
      </c>
      <c r="P2205" s="235">
        <v>66327</v>
      </c>
      <c r="Q2205" s="235">
        <v>4993</v>
      </c>
      <c r="R2205" s="235">
        <v>47296</v>
      </c>
      <c r="S2205" s="236">
        <v>11337.3</v>
      </c>
      <c r="T2205" s="236">
        <v>1250.4000000000001</v>
      </c>
      <c r="U2205" s="236">
        <v>223.8</v>
      </c>
      <c r="V2205" s="235">
        <v>155278</v>
      </c>
      <c r="W2205" s="235">
        <v>52016</v>
      </c>
      <c r="X2205" s="235">
        <v>49828</v>
      </c>
      <c r="Y2205" s="235">
        <v>92778</v>
      </c>
      <c r="Z2205" s="235">
        <v>92237</v>
      </c>
    </row>
    <row r="2206" spans="1:26" ht="18" customHeight="1" x14ac:dyDescent="0.2">
      <c r="A2206" s="279">
        <f t="shared" si="2540"/>
        <v>45057</v>
      </c>
      <c r="B2206" s="280" t="s">
        <v>194</v>
      </c>
      <c r="C2206" s="299">
        <f t="shared" si="2571"/>
        <v>1716</v>
      </c>
      <c r="D2206" s="300">
        <f t="shared" si="2572"/>
        <v>248</v>
      </c>
      <c r="E2206" s="301">
        <f t="shared" si="2573"/>
        <v>1292.0000000000573</v>
      </c>
      <c r="F2206" s="301">
        <f t="shared" si="2574"/>
        <v>61</v>
      </c>
      <c r="G2206" s="302">
        <f t="shared" si="2575"/>
        <v>3317.0000000000573</v>
      </c>
      <c r="H2206" s="199"/>
      <c r="I2206" s="199"/>
      <c r="J2206" s="200"/>
      <c r="K2206" s="201"/>
      <c r="L2206" s="276"/>
      <c r="M2206" s="276"/>
      <c r="N2206" s="235">
        <v>91620</v>
      </c>
      <c r="O2206" s="235">
        <v>38033</v>
      </c>
      <c r="P2206" s="235">
        <v>66332</v>
      </c>
      <c r="Q2206" s="235">
        <v>5012</v>
      </c>
      <c r="R2206" s="235">
        <v>47296</v>
      </c>
      <c r="S2206" s="236">
        <v>11352.3</v>
      </c>
      <c r="T2206" s="236">
        <v>1250.8</v>
      </c>
      <c r="U2206" s="236">
        <v>225</v>
      </c>
      <c r="V2206" s="235">
        <v>155452</v>
      </c>
      <c r="W2206" s="235">
        <v>52049</v>
      </c>
      <c r="X2206" s="235">
        <v>49893</v>
      </c>
      <c r="Y2206" s="235">
        <v>92778</v>
      </c>
      <c r="Z2206" s="235">
        <v>92298</v>
      </c>
    </row>
    <row r="2207" spans="1:26" ht="18" customHeight="1" x14ac:dyDescent="0.2">
      <c r="A2207" s="279">
        <f t="shared" si="2540"/>
        <v>45058</v>
      </c>
      <c r="B2207" s="278" t="s">
        <v>189</v>
      </c>
      <c r="C2207" s="299">
        <f t="shared" si="2571"/>
        <v>0</v>
      </c>
      <c r="D2207" s="300">
        <f t="shared" si="2572"/>
        <v>0</v>
      </c>
      <c r="E2207" s="301">
        <f t="shared" si="2573"/>
        <v>0</v>
      </c>
      <c r="F2207" s="301">
        <f t="shared" si="2574"/>
        <v>0</v>
      </c>
      <c r="G2207" s="302">
        <f t="shared" si="2575"/>
        <v>0</v>
      </c>
      <c r="H2207" s="199"/>
      <c r="I2207" s="199"/>
      <c r="J2207" s="200"/>
      <c r="K2207" s="201"/>
      <c r="L2207" s="276"/>
      <c r="M2207" s="276"/>
      <c r="N2207" s="235">
        <v>91646</v>
      </c>
      <c r="O2207" s="235">
        <v>38043</v>
      </c>
      <c r="P2207" s="235">
        <v>66337</v>
      </c>
      <c r="Q2207" s="235">
        <v>5033</v>
      </c>
      <c r="R2207" s="235">
        <v>47296</v>
      </c>
      <c r="S2207" s="236">
        <v>11367</v>
      </c>
      <c r="T2207" s="236">
        <v>1251.3</v>
      </c>
      <c r="U2207" s="236">
        <v>226.2</v>
      </c>
      <c r="V2207" s="235">
        <v>155616</v>
      </c>
      <c r="W2207" s="235">
        <v>52078</v>
      </c>
      <c r="X2207" s="235">
        <v>49945</v>
      </c>
      <c r="Y2207" s="235">
        <v>92778</v>
      </c>
      <c r="Z2207" s="235">
        <v>92359</v>
      </c>
    </row>
    <row r="2208" spans="1:26" ht="18" customHeight="1" x14ac:dyDescent="0.2">
      <c r="A2208" s="279">
        <f t="shared" si="2540"/>
        <v>45059</v>
      </c>
      <c r="B2208" s="279" t="s">
        <v>195</v>
      </c>
      <c r="C2208" s="299">
        <f t="shared" si="2571"/>
        <v>0</v>
      </c>
      <c r="D2208" s="300">
        <f t="shared" si="2572"/>
        <v>0</v>
      </c>
      <c r="E2208" s="301">
        <f t="shared" si="2573"/>
        <v>0</v>
      </c>
      <c r="F2208" s="301">
        <f t="shared" si="2574"/>
        <v>0</v>
      </c>
      <c r="G2208" s="302">
        <f t="shared" si="2575"/>
        <v>0</v>
      </c>
      <c r="I2208" s="199"/>
      <c r="J2208" s="200"/>
      <c r="K2208" s="201"/>
      <c r="L2208" s="276"/>
      <c r="M2208" s="276"/>
      <c r="N2208" s="288">
        <v>91646</v>
      </c>
      <c r="O2208" s="288">
        <v>38043</v>
      </c>
      <c r="P2208" s="288">
        <v>66337</v>
      </c>
      <c r="Q2208" s="288">
        <v>5033</v>
      </c>
      <c r="R2208" s="288">
        <v>47296</v>
      </c>
      <c r="S2208" s="289">
        <v>11367</v>
      </c>
      <c r="T2208" s="289">
        <v>1251.3</v>
      </c>
      <c r="U2208" s="289">
        <v>226.2</v>
      </c>
      <c r="V2208" s="288">
        <v>155616</v>
      </c>
      <c r="W2208" s="288">
        <v>52078</v>
      </c>
      <c r="X2208" s="288">
        <v>49945</v>
      </c>
      <c r="Y2208" s="288">
        <v>92778</v>
      </c>
      <c r="Z2208" s="288">
        <v>92359</v>
      </c>
    </row>
    <row r="2209" spans="1:26" ht="18" customHeight="1" x14ac:dyDescent="0.2">
      <c r="A2209" s="279">
        <f t="shared" si="2540"/>
        <v>45060</v>
      </c>
      <c r="B2209" s="278" t="s">
        <v>190</v>
      </c>
      <c r="C2209" s="299">
        <f t="shared" si="2571"/>
        <v>2177</v>
      </c>
      <c r="D2209" s="300">
        <f t="shared" si="2572"/>
        <v>336</v>
      </c>
      <c r="E2209" s="301">
        <f t="shared" si="2573"/>
        <v>1716.0000000000628</v>
      </c>
      <c r="F2209" s="301">
        <f t="shared" si="2574"/>
        <v>166</v>
      </c>
      <c r="G2209" s="302">
        <f t="shared" si="2575"/>
        <v>4395.0000000000628</v>
      </c>
      <c r="H2209" s="199"/>
      <c r="I2209" s="199"/>
      <c r="J2209" s="200"/>
      <c r="K2209" s="201"/>
      <c r="L2209" s="276"/>
      <c r="M2209" s="276"/>
      <c r="N2209" s="288">
        <v>91646</v>
      </c>
      <c r="O2209" s="288">
        <v>38043</v>
      </c>
      <c r="P2209" s="288">
        <v>66337</v>
      </c>
      <c r="Q2209" s="288">
        <v>5033</v>
      </c>
      <c r="R2209" s="288">
        <v>47296</v>
      </c>
      <c r="S2209" s="289">
        <v>11367</v>
      </c>
      <c r="T2209" s="289">
        <v>1251.3</v>
      </c>
      <c r="U2209" s="289">
        <v>226.2</v>
      </c>
      <c r="V2209" s="288">
        <v>155616</v>
      </c>
      <c r="W2209" s="288">
        <v>52078</v>
      </c>
      <c r="X2209" s="288">
        <v>49945</v>
      </c>
      <c r="Y2209" s="288">
        <v>92778</v>
      </c>
      <c r="Z2209" s="288">
        <v>92359</v>
      </c>
    </row>
    <row r="2210" spans="1:26" ht="18" customHeight="1" x14ac:dyDescent="0.2">
      <c r="A2210" s="279">
        <f t="shared" si="2540"/>
        <v>45061</v>
      </c>
      <c r="B2210" s="280" t="s">
        <v>191</v>
      </c>
      <c r="C2210" s="299">
        <f t="shared" ref="C2210:C2216" si="2576">(V2211-V2210)*1+(W2211-W2210)*32+(X2211-X2210)*12+(Y2211-Y2210)*6</f>
        <v>2493</v>
      </c>
      <c r="D2210" s="300">
        <f t="shared" ref="D2210:D2216" si="2577">(N2211-N2210)*8+(P2211-P2210)*8+(R2211-R2210)*1</f>
        <v>248</v>
      </c>
      <c r="E2210" s="301">
        <f t="shared" ref="E2210:E2216" si="2578">(S2211-S2210)*80+(T2211-T2210)*40+(U2211-U2210)*80</f>
        <v>1079.9999999999955</v>
      </c>
      <c r="F2210" s="301">
        <f t="shared" ref="F2210:F2216" si="2579">(Z2211-Z2210)*1</f>
        <v>32</v>
      </c>
      <c r="G2210" s="302">
        <f t="shared" ref="G2210:G2216" si="2580">C2210+D2210+F2210+E2210</f>
        <v>3852.9999999999955</v>
      </c>
      <c r="H2210" s="199"/>
      <c r="I2210" s="199"/>
      <c r="J2210" s="200"/>
      <c r="K2210" s="201"/>
      <c r="L2210" s="276"/>
      <c r="M2210" s="276"/>
      <c r="N2210" s="235">
        <v>91678</v>
      </c>
      <c r="O2210" s="235">
        <v>38057</v>
      </c>
      <c r="P2210" s="235">
        <v>66347</v>
      </c>
      <c r="Q2210" s="235">
        <v>5096</v>
      </c>
      <c r="R2210" s="235">
        <v>47296</v>
      </c>
      <c r="S2210" s="236">
        <v>11386.2</v>
      </c>
      <c r="T2210" s="236">
        <v>1252.2</v>
      </c>
      <c r="U2210" s="236">
        <v>228</v>
      </c>
      <c r="V2210" s="235">
        <v>155821</v>
      </c>
      <c r="W2210" s="235">
        <v>52122</v>
      </c>
      <c r="X2210" s="235">
        <v>49992</v>
      </c>
      <c r="Y2210" s="235">
        <v>92778</v>
      </c>
      <c r="Z2210" s="235">
        <v>92525</v>
      </c>
    </row>
    <row r="2211" spans="1:26" ht="18" customHeight="1" x14ac:dyDescent="0.2">
      <c r="A2211" s="279">
        <f t="shared" si="2540"/>
        <v>45062</v>
      </c>
      <c r="B2211" s="280" t="s">
        <v>192</v>
      </c>
      <c r="C2211" s="299">
        <f t="shared" si="2576"/>
        <v>1958</v>
      </c>
      <c r="D2211" s="300">
        <f t="shared" si="2577"/>
        <v>168</v>
      </c>
      <c r="E2211" s="301">
        <f t="shared" si="2578"/>
        <v>1015.9999999999445</v>
      </c>
      <c r="F2211" s="301">
        <f t="shared" si="2579"/>
        <v>39</v>
      </c>
      <c r="G2211" s="302">
        <f t="shared" si="2580"/>
        <v>3180.9999999999445</v>
      </c>
      <c r="H2211" s="199"/>
      <c r="I2211" s="199"/>
      <c r="J2211" s="200"/>
      <c r="K2211" s="201"/>
      <c r="L2211" s="276"/>
      <c r="M2211" s="276"/>
      <c r="N2211" s="235">
        <v>91705</v>
      </c>
      <c r="O2211" s="235">
        <v>38071</v>
      </c>
      <c r="P2211" s="235">
        <v>66351</v>
      </c>
      <c r="Q2211" s="235">
        <v>5122</v>
      </c>
      <c r="R2211" s="235">
        <v>47296</v>
      </c>
      <c r="S2211" s="236">
        <v>11396.2</v>
      </c>
      <c r="T2211" s="236">
        <v>1252.5999999999999</v>
      </c>
      <c r="U2211" s="236">
        <v>231.3</v>
      </c>
      <c r="V2211" s="235">
        <v>156190</v>
      </c>
      <c r="W2211" s="235">
        <v>52161</v>
      </c>
      <c r="X2211" s="235">
        <v>50065</v>
      </c>
      <c r="Y2211" s="235">
        <v>92778</v>
      </c>
      <c r="Z2211" s="235">
        <v>92557</v>
      </c>
    </row>
    <row r="2212" spans="1:26" ht="18" customHeight="1" x14ac:dyDescent="0.2">
      <c r="A2212" s="279">
        <f t="shared" si="2540"/>
        <v>45063</v>
      </c>
      <c r="B2212" s="280" t="s">
        <v>193</v>
      </c>
      <c r="C2212" s="299">
        <f t="shared" si="2576"/>
        <v>2442</v>
      </c>
      <c r="D2212" s="300">
        <f t="shared" si="2577"/>
        <v>136</v>
      </c>
      <c r="E2212" s="301">
        <f t="shared" si="2578"/>
        <v>1539.9999999999409</v>
      </c>
      <c r="F2212" s="301">
        <f t="shared" si="2579"/>
        <v>32</v>
      </c>
      <c r="G2212" s="302">
        <f t="shared" si="2580"/>
        <v>4149.9999999999409</v>
      </c>
      <c r="H2212" s="199"/>
      <c r="I2212" s="199"/>
      <c r="J2212" s="200"/>
      <c r="K2212" s="201"/>
      <c r="L2212" s="276"/>
      <c r="M2212" s="276"/>
      <c r="N2212" s="235">
        <v>91722</v>
      </c>
      <c r="O2212" s="235">
        <v>38078</v>
      </c>
      <c r="P2212" s="235">
        <v>66355</v>
      </c>
      <c r="Q2212" s="235">
        <v>5140</v>
      </c>
      <c r="R2212" s="235">
        <v>47296</v>
      </c>
      <c r="S2212" s="236">
        <v>11404.5</v>
      </c>
      <c r="T2212" s="236">
        <v>1253</v>
      </c>
      <c r="U2212" s="236">
        <v>235.5</v>
      </c>
      <c r="V2212" s="235">
        <v>156360</v>
      </c>
      <c r="W2212" s="235">
        <v>52197</v>
      </c>
      <c r="X2212" s="235">
        <v>50118</v>
      </c>
      <c r="Y2212" s="235">
        <v>92778</v>
      </c>
      <c r="Z2212" s="235">
        <v>92596</v>
      </c>
    </row>
    <row r="2213" spans="1:26" ht="18" customHeight="1" x14ac:dyDescent="0.2">
      <c r="A2213" s="279">
        <f t="shared" si="2540"/>
        <v>45064</v>
      </c>
      <c r="B2213" s="280" t="s">
        <v>194</v>
      </c>
      <c r="C2213" s="299">
        <f t="shared" si="2576"/>
        <v>2020</v>
      </c>
      <c r="D2213" s="300">
        <f t="shared" si="2577"/>
        <v>128</v>
      </c>
      <c r="E2213" s="301">
        <f t="shared" si="2578"/>
        <v>1196.0000000000582</v>
      </c>
      <c r="F2213" s="301">
        <f t="shared" si="2579"/>
        <v>38</v>
      </c>
      <c r="G2213" s="302">
        <f t="shared" si="2580"/>
        <v>3382.0000000000582</v>
      </c>
      <c r="H2213" s="199"/>
      <c r="I2213" s="199"/>
      <c r="J2213" s="200"/>
      <c r="K2213" s="201"/>
      <c r="L2213" s="276"/>
      <c r="M2213" s="276"/>
      <c r="N2213" s="235">
        <v>91736</v>
      </c>
      <c r="O2213" s="235">
        <v>38083</v>
      </c>
      <c r="P2213" s="235">
        <v>66358</v>
      </c>
      <c r="Q2213" s="235">
        <v>5155</v>
      </c>
      <c r="R2213" s="235">
        <v>47296</v>
      </c>
      <c r="S2213" s="236">
        <v>11419.3</v>
      </c>
      <c r="T2213" s="236">
        <v>1253.5</v>
      </c>
      <c r="U2213" s="236">
        <v>239.7</v>
      </c>
      <c r="V2213" s="235">
        <v>156538</v>
      </c>
      <c r="W2213" s="235">
        <v>52243</v>
      </c>
      <c r="X2213" s="235">
        <v>50184</v>
      </c>
      <c r="Y2213" s="235">
        <v>92778</v>
      </c>
      <c r="Z2213" s="235">
        <v>92628</v>
      </c>
    </row>
    <row r="2214" spans="1:26" ht="18" customHeight="1" x14ac:dyDescent="0.2">
      <c r="A2214" s="279">
        <f t="shared" si="2540"/>
        <v>45065</v>
      </c>
      <c r="B2214" s="278" t="s">
        <v>189</v>
      </c>
      <c r="C2214" s="299">
        <f t="shared" si="2576"/>
        <v>0</v>
      </c>
      <c r="D2214" s="300">
        <f t="shared" si="2577"/>
        <v>0</v>
      </c>
      <c r="E2214" s="301">
        <f t="shared" si="2578"/>
        <v>0</v>
      </c>
      <c r="F2214" s="301">
        <f t="shared" si="2579"/>
        <v>0</v>
      </c>
      <c r="G2214" s="302">
        <f t="shared" si="2580"/>
        <v>0</v>
      </c>
      <c r="H2214" s="199"/>
      <c r="I2214" s="199"/>
      <c r="J2214" s="200"/>
      <c r="K2214" s="201"/>
      <c r="L2214" s="276"/>
      <c r="M2214" s="276"/>
      <c r="N2214" s="235">
        <v>91749</v>
      </c>
      <c r="O2214" s="235">
        <v>38088</v>
      </c>
      <c r="P2214" s="235">
        <v>66361</v>
      </c>
      <c r="Q2214" s="235">
        <v>5172</v>
      </c>
      <c r="R2214" s="235">
        <v>47296</v>
      </c>
      <c r="S2214" s="236">
        <v>11431</v>
      </c>
      <c r="T2214" s="236">
        <v>1253.8</v>
      </c>
      <c r="U2214" s="236">
        <v>242.8</v>
      </c>
      <c r="V2214" s="235">
        <v>156718</v>
      </c>
      <c r="W2214" s="235">
        <v>52281</v>
      </c>
      <c r="X2214" s="235">
        <v>50236</v>
      </c>
      <c r="Y2214" s="235">
        <v>92778</v>
      </c>
      <c r="Z2214" s="235">
        <v>92666</v>
      </c>
    </row>
    <row r="2215" spans="1:26" ht="18" customHeight="1" x14ac:dyDescent="0.2">
      <c r="A2215" s="279">
        <f t="shared" si="2540"/>
        <v>45066</v>
      </c>
      <c r="B2215" s="279" t="s">
        <v>195</v>
      </c>
      <c r="C2215" s="299">
        <f t="shared" si="2576"/>
        <v>0</v>
      </c>
      <c r="D2215" s="300">
        <f t="shared" si="2577"/>
        <v>0</v>
      </c>
      <c r="E2215" s="301">
        <f t="shared" si="2578"/>
        <v>0</v>
      </c>
      <c r="F2215" s="301">
        <f t="shared" si="2579"/>
        <v>0</v>
      </c>
      <c r="G2215" s="302">
        <f t="shared" si="2580"/>
        <v>0</v>
      </c>
      <c r="H2215" s="199"/>
      <c r="I2215" s="199"/>
      <c r="J2215" s="200"/>
      <c r="K2215" s="201"/>
      <c r="L2215" s="276"/>
      <c r="M2215" s="276"/>
      <c r="N2215" s="153">
        <v>91749</v>
      </c>
      <c r="O2215" s="153">
        <v>38088</v>
      </c>
      <c r="P2215" s="153">
        <v>66361</v>
      </c>
      <c r="Q2215" s="153">
        <v>5172</v>
      </c>
      <c r="R2215" s="153">
        <v>47296</v>
      </c>
      <c r="S2215" s="154">
        <v>11431</v>
      </c>
      <c r="T2215" s="154">
        <v>1253.8</v>
      </c>
      <c r="U2215" s="154">
        <v>242.8</v>
      </c>
      <c r="V2215" s="153">
        <v>156718</v>
      </c>
      <c r="W2215" s="153">
        <v>52281</v>
      </c>
      <c r="X2215" s="153">
        <v>50236</v>
      </c>
      <c r="Y2215" s="153">
        <v>92778</v>
      </c>
      <c r="Z2215" s="153">
        <v>92666</v>
      </c>
    </row>
    <row r="2216" spans="1:26" ht="18" customHeight="1" x14ac:dyDescent="0.2">
      <c r="A2216" s="279">
        <f t="shared" ref="A2216:A2279" si="2581">A2215+1</f>
        <v>45067</v>
      </c>
      <c r="B2216" s="278" t="s">
        <v>190</v>
      </c>
      <c r="C2216" s="299">
        <f t="shared" si="2576"/>
        <v>2512</v>
      </c>
      <c r="D2216" s="300">
        <f t="shared" si="2577"/>
        <v>112</v>
      </c>
      <c r="E2216" s="301">
        <f t="shared" si="2578"/>
        <v>1268.0000000000609</v>
      </c>
      <c r="F2216" s="301">
        <f t="shared" si="2579"/>
        <v>144</v>
      </c>
      <c r="G2216" s="302">
        <f t="shared" si="2580"/>
        <v>4036.0000000000609</v>
      </c>
      <c r="H2216" s="199"/>
      <c r="I2216" s="199"/>
      <c r="J2216" s="200"/>
      <c r="K2216" s="201"/>
      <c r="L2216" s="276"/>
      <c r="M2216" s="276"/>
      <c r="N2216" s="153">
        <v>91749</v>
      </c>
      <c r="O2216" s="153">
        <v>38088</v>
      </c>
      <c r="P2216" s="153">
        <v>66361</v>
      </c>
      <c r="Q2216" s="153">
        <v>5172</v>
      </c>
      <c r="R2216" s="153">
        <v>47296</v>
      </c>
      <c r="S2216" s="154">
        <v>11431</v>
      </c>
      <c r="T2216" s="154">
        <v>1253.8</v>
      </c>
      <c r="U2216" s="154">
        <v>242.8</v>
      </c>
      <c r="V2216" s="153">
        <v>156718</v>
      </c>
      <c r="W2216" s="153">
        <v>52281</v>
      </c>
      <c r="X2216" s="153">
        <v>50236</v>
      </c>
      <c r="Y2216" s="153">
        <v>92778</v>
      </c>
      <c r="Z2216" s="153">
        <v>92666</v>
      </c>
    </row>
    <row r="2217" spans="1:26" ht="18" customHeight="1" x14ac:dyDescent="0.2">
      <c r="A2217" s="279">
        <f t="shared" si="2581"/>
        <v>45068</v>
      </c>
      <c r="B2217" s="280" t="s">
        <v>191</v>
      </c>
      <c r="C2217" s="299">
        <f t="shared" ref="C2217:C2225" si="2582">(V2218-V2217)*1+(W2218-W2217)*32+(X2218-X2217)*12+(Y2218-Y2217)*6</f>
        <v>2259</v>
      </c>
      <c r="D2217" s="300">
        <f t="shared" ref="D2217:D2225" si="2583">(N2218-N2217)*8+(P2218-P2217)*8+(R2218-R2217)*1</f>
        <v>64</v>
      </c>
      <c r="E2217" s="301">
        <f t="shared" ref="E2217:E2225" si="2584">(S2218-S2217)*80+(T2218-T2217)*40+(U2218-U2217)*80</f>
        <v>1691.9999999999709</v>
      </c>
      <c r="F2217" s="301">
        <f t="shared" ref="F2217:F2225" si="2585">(Z2218-Z2217)*1</f>
        <v>70</v>
      </c>
      <c r="G2217" s="302">
        <f t="shared" ref="G2217:G2225" si="2586">C2217+D2217+F2217+E2217</f>
        <v>4084.9999999999709</v>
      </c>
      <c r="H2217" s="199"/>
      <c r="I2217" s="199"/>
      <c r="J2217" s="200"/>
      <c r="K2217" s="201"/>
      <c r="L2217" s="276"/>
      <c r="M2217" s="276"/>
      <c r="N2217" s="235">
        <v>91760</v>
      </c>
      <c r="O2217" s="235">
        <v>38094</v>
      </c>
      <c r="P2217" s="235">
        <v>66364</v>
      </c>
      <c r="Q2217" s="235">
        <v>5194</v>
      </c>
      <c r="R2217" s="235">
        <v>47296</v>
      </c>
      <c r="S2217" s="236">
        <v>11445.2</v>
      </c>
      <c r="T2217" s="236">
        <v>1254.7</v>
      </c>
      <c r="U2217" s="236">
        <v>244</v>
      </c>
      <c r="V2217" s="235">
        <v>157126</v>
      </c>
      <c r="W2217" s="235">
        <v>52331</v>
      </c>
      <c r="X2217" s="235">
        <v>50278</v>
      </c>
      <c r="Y2217" s="235">
        <v>92778</v>
      </c>
      <c r="Z2217" s="235">
        <v>92810</v>
      </c>
    </row>
    <row r="2218" spans="1:26" ht="18" customHeight="1" x14ac:dyDescent="0.2">
      <c r="A2218" s="279">
        <f t="shared" si="2581"/>
        <v>45069</v>
      </c>
      <c r="B2218" s="280" t="s">
        <v>192</v>
      </c>
      <c r="C2218" s="299">
        <f t="shared" si="2582"/>
        <v>1846</v>
      </c>
      <c r="D2218" s="300">
        <f t="shared" si="2583"/>
        <v>24</v>
      </c>
      <c r="E2218" s="301">
        <f t="shared" si="2584"/>
        <v>1727.9999999999654</v>
      </c>
      <c r="F2218" s="301">
        <f t="shared" si="2585"/>
        <v>63</v>
      </c>
      <c r="G2218" s="302">
        <f t="shared" si="2586"/>
        <v>3660.9999999999654</v>
      </c>
      <c r="H2218" s="199"/>
      <c r="I2218" s="199"/>
      <c r="J2218" s="200"/>
      <c r="K2218" s="201"/>
      <c r="L2218" s="276"/>
      <c r="M2218" s="276"/>
      <c r="N2218" s="235">
        <v>91766</v>
      </c>
      <c r="O2218" s="235">
        <v>38098</v>
      </c>
      <c r="P2218" s="235">
        <v>66366</v>
      </c>
      <c r="Q2218" s="235">
        <v>5210</v>
      </c>
      <c r="R2218" s="235">
        <v>47296</v>
      </c>
      <c r="S2218" s="236">
        <v>11462.1</v>
      </c>
      <c r="T2218" s="236">
        <v>1255.2</v>
      </c>
      <c r="U2218" s="236">
        <v>248</v>
      </c>
      <c r="V2218" s="235">
        <v>157309</v>
      </c>
      <c r="W2218" s="235">
        <v>52373</v>
      </c>
      <c r="X2218" s="235">
        <v>50339</v>
      </c>
      <c r="Y2218" s="235">
        <v>92778</v>
      </c>
      <c r="Z2218" s="235">
        <v>92880</v>
      </c>
    </row>
    <row r="2219" spans="1:26" ht="18" customHeight="1" x14ac:dyDescent="0.2">
      <c r="A2219" s="279">
        <f t="shared" si="2581"/>
        <v>45070</v>
      </c>
      <c r="B2219" s="280" t="s">
        <v>193</v>
      </c>
      <c r="C2219" s="299">
        <f t="shared" si="2582"/>
        <v>1740</v>
      </c>
      <c r="D2219" s="300">
        <f t="shared" si="2583"/>
        <v>0</v>
      </c>
      <c r="E2219" s="301">
        <f t="shared" si="2584"/>
        <v>2119.9999999999727</v>
      </c>
      <c r="F2219" s="301">
        <f t="shared" si="2585"/>
        <v>61</v>
      </c>
      <c r="G2219" s="302">
        <f t="shared" si="2586"/>
        <v>3920.9999999999727</v>
      </c>
      <c r="H2219" s="199"/>
      <c r="I2219" s="199"/>
      <c r="J2219" s="200"/>
      <c r="K2219" s="201"/>
      <c r="L2219" s="276"/>
      <c r="M2219" s="276"/>
      <c r="N2219" s="235">
        <v>91768</v>
      </c>
      <c r="O2219" s="235">
        <v>38098</v>
      </c>
      <c r="P2219" s="235">
        <v>66367</v>
      </c>
      <c r="Q2219" s="235">
        <v>5212</v>
      </c>
      <c r="R2219" s="235">
        <v>47296</v>
      </c>
      <c r="S2219" s="236">
        <v>11479</v>
      </c>
      <c r="T2219" s="236">
        <v>1255.5999999999999</v>
      </c>
      <c r="U2219" s="236">
        <v>252.5</v>
      </c>
      <c r="V2219" s="235">
        <v>157479</v>
      </c>
      <c r="W2219" s="235">
        <v>52401</v>
      </c>
      <c r="X2219" s="235">
        <v>50404</v>
      </c>
      <c r="Y2219" s="235">
        <v>92778</v>
      </c>
      <c r="Z2219" s="235">
        <v>92943</v>
      </c>
    </row>
    <row r="2220" spans="1:26" ht="18" customHeight="1" x14ac:dyDescent="0.2">
      <c r="A2220" s="279">
        <f t="shared" si="2581"/>
        <v>45071</v>
      </c>
      <c r="B2220" s="280" t="s">
        <v>194</v>
      </c>
      <c r="C2220" s="299">
        <f t="shared" si="2582"/>
        <v>1952</v>
      </c>
      <c r="D2220" s="300">
        <f t="shared" si="2583"/>
        <v>24</v>
      </c>
      <c r="E2220" s="301">
        <f t="shared" si="2584"/>
        <v>1508.0000000000018</v>
      </c>
      <c r="F2220" s="301">
        <f t="shared" si="2585"/>
        <v>62</v>
      </c>
      <c r="G2220" s="302">
        <f t="shared" si="2586"/>
        <v>3546.0000000000018</v>
      </c>
      <c r="H2220" s="199"/>
      <c r="I2220" s="199"/>
      <c r="J2220" s="200"/>
      <c r="K2220" s="201"/>
      <c r="L2220" s="276"/>
      <c r="M2220" s="276"/>
      <c r="N2220" s="235">
        <v>91768</v>
      </c>
      <c r="O2220" s="235">
        <v>38098</v>
      </c>
      <c r="P2220" s="235">
        <v>66367</v>
      </c>
      <c r="Q2220" s="235">
        <v>5213</v>
      </c>
      <c r="R2220" s="235">
        <v>47296</v>
      </c>
      <c r="S2220" s="236">
        <v>11495.4</v>
      </c>
      <c r="T2220" s="236">
        <v>1256</v>
      </c>
      <c r="U2220" s="236">
        <v>262.39999999999998</v>
      </c>
      <c r="V2220" s="235">
        <v>157635</v>
      </c>
      <c r="W2220" s="235">
        <v>52431</v>
      </c>
      <c r="X2220" s="235">
        <v>50456</v>
      </c>
      <c r="Y2220" s="235">
        <v>92778</v>
      </c>
      <c r="Z2220" s="235">
        <v>93004</v>
      </c>
    </row>
    <row r="2221" spans="1:26" ht="18" customHeight="1" x14ac:dyDescent="0.2">
      <c r="A2221" s="279">
        <f t="shared" si="2581"/>
        <v>45072</v>
      </c>
      <c r="B2221" s="278" t="s">
        <v>189</v>
      </c>
      <c r="C2221" s="299">
        <f t="shared" si="2582"/>
        <v>0</v>
      </c>
      <c r="D2221" s="300">
        <f t="shared" si="2583"/>
        <v>0</v>
      </c>
      <c r="E2221" s="301">
        <f t="shared" si="2584"/>
        <v>0</v>
      </c>
      <c r="F2221" s="301">
        <f t="shared" si="2585"/>
        <v>0</v>
      </c>
      <c r="G2221" s="302">
        <f t="shared" si="2586"/>
        <v>0</v>
      </c>
      <c r="H2221" s="199"/>
      <c r="I2221" s="199"/>
      <c r="J2221" s="200"/>
      <c r="K2221" s="201"/>
      <c r="L2221" s="276"/>
      <c r="M2221" s="276"/>
      <c r="N2221" s="235">
        <v>91770</v>
      </c>
      <c r="O2221" s="235">
        <v>38098</v>
      </c>
      <c r="P2221" s="235">
        <v>66368</v>
      </c>
      <c r="Q2221" s="235">
        <v>5215</v>
      </c>
      <c r="R2221" s="235">
        <v>47296</v>
      </c>
      <c r="S2221" s="236">
        <v>11512.4</v>
      </c>
      <c r="T2221" s="236">
        <v>1256.5</v>
      </c>
      <c r="U2221" s="236">
        <v>264</v>
      </c>
      <c r="V2221" s="235">
        <v>157799</v>
      </c>
      <c r="W2221" s="235">
        <v>52467</v>
      </c>
      <c r="X2221" s="235">
        <v>50509</v>
      </c>
      <c r="Y2221" s="235">
        <v>92778</v>
      </c>
      <c r="Z2221" s="235">
        <v>93066</v>
      </c>
    </row>
    <row r="2222" spans="1:26" ht="18" customHeight="1" x14ac:dyDescent="0.2">
      <c r="A2222" s="279">
        <f t="shared" si="2581"/>
        <v>45073</v>
      </c>
      <c r="B2222" s="279" t="s">
        <v>195</v>
      </c>
      <c r="C2222" s="299">
        <f t="shared" si="2582"/>
        <v>0</v>
      </c>
      <c r="D2222" s="300">
        <f t="shared" si="2583"/>
        <v>0</v>
      </c>
      <c r="E2222" s="301">
        <f t="shared" si="2584"/>
        <v>0</v>
      </c>
      <c r="F2222" s="301">
        <f t="shared" si="2585"/>
        <v>0</v>
      </c>
      <c r="G2222" s="302">
        <f t="shared" si="2586"/>
        <v>0</v>
      </c>
      <c r="H2222" s="199"/>
      <c r="I2222" s="199"/>
      <c r="J2222" s="200"/>
      <c r="K2222" s="201"/>
      <c r="L2222" s="276"/>
      <c r="M2222" s="276"/>
      <c r="N2222" s="153">
        <v>91770</v>
      </c>
      <c r="O2222" s="153">
        <v>38098</v>
      </c>
      <c r="P2222" s="153">
        <v>66368</v>
      </c>
      <c r="Q2222" s="153">
        <v>5215</v>
      </c>
      <c r="R2222" s="153">
        <v>47296</v>
      </c>
      <c r="S2222" s="154">
        <v>11512.4</v>
      </c>
      <c r="T2222" s="154">
        <v>1256.5</v>
      </c>
      <c r="U2222" s="154">
        <v>264</v>
      </c>
      <c r="V2222" s="153">
        <v>157799</v>
      </c>
      <c r="W2222" s="153">
        <v>52467</v>
      </c>
      <c r="X2222" s="153">
        <v>50509</v>
      </c>
      <c r="Y2222" s="153">
        <v>92778</v>
      </c>
      <c r="Z2222" s="153">
        <v>93066</v>
      </c>
    </row>
    <row r="2223" spans="1:26" ht="18" customHeight="1" x14ac:dyDescent="0.2">
      <c r="A2223" s="279">
        <f t="shared" si="2581"/>
        <v>45074</v>
      </c>
      <c r="B2223" s="278" t="s">
        <v>190</v>
      </c>
      <c r="C2223" s="299">
        <f t="shared" si="2582"/>
        <v>2772</v>
      </c>
      <c r="D2223" s="300">
        <f t="shared" si="2583"/>
        <v>8</v>
      </c>
      <c r="E2223" s="301">
        <f t="shared" si="2584"/>
        <v>2208.0000000000291</v>
      </c>
      <c r="F2223" s="301">
        <f t="shared" si="2585"/>
        <v>249</v>
      </c>
      <c r="G2223" s="302">
        <f t="shared" si="2586"/>
        <v>5237.0000000000291</v>
      </c>
      <c r="H2223" s="199"/>
      <c r="I2223" s="199"/>
      <c r="J2223" s="200"/>
      <c r="K2223" s="201"/>
      <c r="L2223" s="276"/>
      <c r="M2223" s="276"/>
      <c r="N2223" s="153">
        <v>91770</v>
      </c>
      <c r="O2223" s="153">
        <v>38098</v>
      </c>
      <c r="P2223" s="153">
        <v>66368</v>
      </c>
      <c r="Q2223" s="153">
        <v>5215</v>
      </c>
      <c r="R2223" s="153">
        <v>47296</v>
      </c>
      <c r="S2223" s="154">
        <v>11512.4</v>
      </c>
      <c r="T2223" s="154">
        <v>1256.5</v>
      </c>
      <c r="U2223" s="154">
        <v>264</v>
      </c>
      <c r="V2223" s="153">
        <v>157799</v>
      </c>
      <c r="W2223" s="153">
        <v>52467</v>
      </c>
      <c r="X2223" s="153">
        <v>50509</v>
      </c>
      <c r="Y2223" s="153">
        <v>92778</v>
      </c>
      <c r="Z2223" s="153">
        <v>93066</v>
      </c>
    </row>
    <row r="2224" spans="1:26" ht="18" customHeight="1" x14ac:dyDescent="0.2">
      <c r="A2224" s="279">
        <f t="shared" si="2581"/>
        <v>45075</v>
      </c>
      <c r="B2224" s="280" t="s">
        <v>191</v>
      </c>
      <c r="C2224" s="299">
        <f t="shared" si="2582"/>
        <v>2572</v>
      </c>
      <c r="D2224" s="300">
        <f t="shared" si="2583"/>
        <v>16</v>
      </c>
      <c r="E2224" s="301">
        <f t="shared" si="2584"/>
        <v>1643.9999999999418</v>
      </c>
      <c r="F2224" s="301">
        <f t="shared" si="2585"/>
        <v>92</v>
      </c>
      <c r="G2224" s="302">
        <f t="shared" si="2586"/>
        <v>4323.9999999999418</v>
      </c>
      <c r="H2224" s="199"/>
      <c r="I2224" s="199"/>
      <c r="J2224" s="200"/>
      <c r="K2224" s="201"/>
      <c r="L2224" s="276"/>
      <c r="M2224" s="276"/>
      <c r="N2224" s="235">
        <v>91770</v>
      </c>
      <c r="O2224" s="235">
        <v>38098</v>
      </c>
      <c r="P2224" s="235">
        <v>66369</v>
      </c>
      <c r="Q2224" s="235">
        <v>5222</v>
      </c>
      <c r="R2224" s="235">
        <v>47296</v>
      </c>
      <c r="S2224" s="236">
        <v>11536.5</v>
      </c>
      <c r="T2224" s="236">
        <v>1257.5</v>
      </c>
      <c r="U2224" s="236">
        <v>267</v>
      </c>
      <c r="V2224" s="235">
        <v>158263</v>
      </c>
      <c r="W2224" s="235">
        <v>52520</v>
      </c>
      <c r="X2224" s="235">
        <v>50560</v>
      </c>
      <c r="Y2224" s="235">
        <v>92778</v>
      </c>
      <c r="Z2224" s="235">
        <v>93315</v>
      </c>
    </row>
    <row r="2225" spans="1:26" ht="18" customHeight="1" x14ac:dyDescent="0.2">
      <c r="A2225" s="279">
        <f t="shared" si="2581"/>
        <v>45076</v>
      </c>
      <c r="B2225" s="280" t="s">
        <v>192</v>
      </c>
      <c r="C2225" s="299">
        <f t="shared" si="2582"/>
        <v>2585</v>
      </c>
      <c r="D2225" s="300">
        <f t="shared" si="2583"/>
        <v>8</v>
      </c>
      <c r="E2225" s="301">
        <f t="shared" si="2584"/>
        <v>1624.0000000001146</v>
      </c>
      <c r="F2225" s="301">
        <f t="shared" si="2585"/>
        <v>94</v>
      </c>
      <c r="G2225" s="302">
        <f t="shared" si="2586"/>
        <v>4311.0000000001146</v>
      </c>
      <c r="H2225" s="199"/>
      <c r="I2225" s="199"/>
      <c r="J2225" s="200"/>
      <c r="K2225" s="201"/>
      <c r="L2225" s="276"/>
      <c r="M2225" s="276"/>
      <c r="N2225" s="235">
        <v>91771</v>
      </c>
      <c r="O2225" s="235">
        <v>38099</v>
      </c>
      <c r="P2225" s="235">
        <v>66370</v>
      </c>
      <c r="Q2225" s="235">
        <v>5232</v>
      </c>
      <c r="R2225" s="235">
        <v>47296</v>
      </c>
      <c r="S2225" s="236">
        <v>11554.3</v>
      </c>
      <c r="T2225" s="236">
        <v>1258.2</v>
      </c>
      <c r="U2225" s="236">
        <v>269.39999999999998</v>
      </c>
      <c r="V2225" s="235">
        <v>158471</v>
      </c>
      <c r="W2225" s="235">
        <v>52568</v>
      </c>
      <c r="X2225" s="235">
        <v>50629</v>
      </c>
      <c r="Y2225" s="235">
        <v>92778</v>
      </c>
      <c r="Z2225" s="235">
        <v>93407</v>
      </c>
    </row>
    <row r="2226" spans="1:26" ht="18" customHeight="1" x14ac:dyDescent="0.2">
      <c r="A2226" s="279">
        <f t="shared" si="2581"/>
        <v>45077</v>
      </c>
      <c r="B2226" s="280" t="s">
        <v>193</v>
      </c>
      <c r="C2226" s="197"/>
      <c r="D2226" s="197"/>
      <c r="E2226" s="197"/>
      <c r="F2226" s="197"/>
      <c r="G2226" s="198"/>
      <c r="H2226" s="199"/>
      <c r="I2226" s="199"/>
      <c r="J2226" s="200"/>
      <c r="K2226" s="201"/>
      <c r="L2226" s="276"/>
      <c r="M2226" s="276"/>
      <c r="N2226" s="235">
        <v>91771</v>
      </c>
      <c r="O2226" s="235">
        <v>38099</v>
      </c>
      <c r="P2226" s="235">
        <v>66371</v>
      </c>
      <c r="Q2226" s="235">
        <v>5234</v>
      </c>
      <c r="R2226" s="235">
        <v>47296</v>
      </c>
      <c r="S2226" s="236">
        <v>11572.2</v>
      </c>
      <c r="T2226" s="236">
        <v>1258.8</v>
      </c>
      <c r="U2226" s="236">
        <v>271.5</v>
      </c>
      <c r="V2226" s="235">
        <v>158680</v>
      </c>
      <c r="W2226" s="235">
        <v>52616</v>
      </c>
      <c r="X2226" s="235">
        <v>50699</v>
      </c>
      <c r="Y2226" s="235">
        <v>92778</v>
      </c>
      <c r="Z2226" s="235">
        <v>93501</v>
      </c>
    </row>
    <row r="2227" spans="1:26" ht="18" customHeight="1" x14ac:dyDescent="0.2">
      <c r="A2227" s="279">
        <f t="shared" si="2581"/>
        <v>45078</v>
      </c>
      <c r="B2227" s="280" t="s">
        <v>194</v>
      </c>
      <c r="C2227" s="197"/>
      <c r="D2227" s="197"/>
      <c r="E2227" s="197"/>
      <c r="F2227" s="197"/>
      <c r="G2227" s="198"/>
      <c r="H2227" s="199"/>
      <c r="I2227" s="199"/>
      <c r="J2227" s="200"/>
      <c r="K2227" s="201"/>
      <c r="L2227" s="276"/>
      <c r="M2227" s="276"/>
      <c r="N2227" s="235"/>
      <c r="O2227" s="235"/>
      <c r="P2227" s="235"/>
      <c r="Q2227" s="235"/>
      <c r="R2227" s="235"/>
      <c r="S2227" s="236"/>
      <c r="T2227" s="236"/>
      <c r="U2227" s="236"/>
      <c r="V2227" s="235"/>
      <c r="W2227" s="235"/>
      <c r="X2227" s="235"/>
      <c r="Y2227" s="235"/>
      <c r="Z2227" s="235"/>
    </row>
    <row r="2228" spans="1:26" ht="18" customHeight="1" x14ac:dyDescent="0.2">
      <c r="A2228" s="279">
        <f t="shared" si="2581"/>
        <v>45079</v>
      </c>
      <c r="B2228" s="278" t="s">
        <v>189</v>
      </c>
      <c r="C2228" s="197"/>
      <c r="D2228" s="197"/>
      <c r="E2228" s="197"/>
      <c r="F2228" s="197"/>
      <c r="G2228" s="198"/>
      <c r="H2228" s="199"/>
      <c r="I2228" s="199"/>
      <c r="J2228" s="200"/>
      <c r="K2228" s="201"/>
      <c r="L2228" s="276"/>
      <c r="M2228" s="276"/>
      <c r="N2228" s="235"/>
      <c r="O2228" s="235"/>
      <c r="P2228" s="235"/>
      <c r="Q2228" s="235"/>
      <c r="R2228" s="235"/>
      <c r="S2228" s="236"/>
      <c r="T2228" s="236"/>
      <c r="U2228" s="236"/>
      <c r="V2228" s="235"/>
      <c r="W2228" s="235"/>
      <c r="X2228" s="235"/>
      <c r="Y2228" s="235"/>
      <c r="Z2228" s="235"/>
    </row>
    <row r="2229" spans="1:26" ht="18" customHeight="1" x14ac:dyDescent="0.2">
      <c r="A2229" s="279">
        <f t="shared" si="2581"/>
        <v>45080</v>
      </c>
      <c r="B2229" s="279" t="s">
        <v>195</v>
      </c>
      <c r="C2229" s="197"/>
      <c r="D2229" s="197"/>
      <c r="E2229" s="197"/>
      <c r="F2229" s="197"/>
      <c r="G2229" s="198"/>
      <c r="H2229" s="199"/>
      <c r="I2229" s="199"/>
      <c r="J2229" s="200"/>
      <c r="K2229" s="201"/>
      <c r="L2229" s="276"/>
      <c r="M2229" s="276"/>
      <c r="N2229" s="235"/>
      <c r="O2229" s="235"/>
      <c r="P2229" s="235"/>
      <c r="Q2229" s="235"/>
      <c r="R2229" s="235"/>
      <c r="S2229" s="236"/>
      <c r="T2229" s="236"/>
      <c r="U2229" s="236"/>
      <c r="V2229" s="235"/>
      <c r="W2229" s="235"/>
      <c r="X2229" s="235"/>
      <c r="Y2229" s="235"/>
      <c r="Z2229" s="235"/>
    </row>
    <row r="2230" spans="1:26" ht="18" customHeight="1" x14ac:dyDescent="0.2">
      <c r="A2230" s="279">
        <f t="shared" si="2581"/>
        <v>45081</v>
      </c>
      <c r="B2230" s="278" t="s">
        <v>190</v>
      </c>
      <c r="C2230" s="197"/>
      <c r="D2230" s="197"/>
      <c r="E2230" s="197"/>
      <c r="F2230" s="197"/>
      <c r="G2230" s="198"/>
      <c r="H2230" s="199"/>
      <c r="I2230" s="199"/>
      <c r="J2230" s="200"/>
      <c r="K2230" s="201"/>
      <c r="L2230" s="276"/>
      <c r="M2230" s="276"/>
      <c r="N2230" s="235"/>
      <c r="O2230" s="235"/>
      <c r="P2230" s="235"/>
      <c r="Q2230" s="235"/>
      <c r="R2230" s="235"/>
      <c r="S2230" s="236"/>
      <c r="T2230" s="236"/>
      <c r="U2230" s="236"/>
      <c r="V2230" s="235"/>
      <c r="W2230" s="235"/>
      <c r="X2230" s="235"/>
      <c r="Y2230" s="235"/>
      <c r="Z2230" s="235"/>
    </row>
    <row r="2231" spans="1:26" ht="18" customHeight="1" x14ac:dyDescent="0.2">
      <c r="A2231" s="279">
        <f t="shared" si="2581"/>
        <v>45082</v>
      </c>
      <c r="B2231" s="280" t="s">
        <v>191</v>
      </c>
      <c r="C2231" s="197"/>
      <c r="D2231" s="197"/>
      <c r="E2231" s="197"/>
      <c r="F2231" s="197"/>
      <c r="G2231" s="198"/>
      <c r="H2231" s="199"/>
      <c r="I2231" s="199"/>
      <c r="J2231" s="200"/>
      <c r="K2231" s="201"/>
      <c r="L2231" s="276"/>
      <c r="M2231" s="276"/>
      <c r="N2231" s="235"/>
      <c r="O2231" s="235"/>
      <c r="P2231" s="235"/>
      <c r="Q2231" s="235"/>
      <c r="R2231" s="235"/>
      <c r="S2231" s="236"/>
      <c r="T2231" s="236"/>
      <c r="U2231" s="236"/>
      <c r="V2231" s="235"/>
      <c r="W2231" s="235"/>
      <c r="X2231" s="235"/>
      <c r="Y2231" s="235"/>
      <c r="Z2231" s="235"/>
    </row>
    <row r="2232" spans="1:26" ht="18" customHeight="1" x14ac:dyDescent="0.2">
      <c r="A2232" s="279">
        <f t="shared" si="2581"/>
        <v>45083</v>
      </c>
      <c r="B2232" s="280" t="s">
        <v>192</v>
      </c>
      <c r="C2232" s="197"/>
      <c r="D2232" s="197"/>
      <c r="E2232" s="197"/>
      <c r="F2232" s="197"/>
      <c r="G2232" s="198"/>
      <c r="H2232" s="199"/>
      <c r="I2232" s="199"/>
      <c r="J2232" s="200"/>
      <c r="K2232" s="201"/>
      <c r="L2232" s="276"/>
      <c r="M2232" s="276"/>
      <c r="N2232" s="235"/>
      <c r="O2232" s="235"/>
      <c r="P2232" s="235"/>
      <c r="Q2232" s="235"/>
      <c r="R2232" s="235"/>
      <c r="S2232" s="236"/>
      <c r="T2232" s="236"/>
      <c r="U2232" s="236"/>
      <c r="V2232" s="235"/>
      <c r="W2232" s="235"/>
      <c r="X2232" s="235"/>
      <c r="Y2232" s="235"/>
      <c r="Z2232" s="235"/>
    </row>
    <row r="2233" spans="1:26" ht="18" customHeight="1" x14ac:dyDescent="0.2">
      <c r="A2233" s="279">
        <f t="shared" si="2581"/>
        <v>45084</v>
      </c>
      <c r="B2233" s="280" t="s">
        <v>193</v>
      </c>
      <c r="C2233" s="197"/>
      <c r="D2233" s="197"/>
      <c r="E2233" s="197"/>
      <c r="F2233" s="197"/>
      <c r="G2233" s="198"/>
      <c r="H2233" s="199"/>
      <c r="I2233" s="199"/>
      <c r="J2233" s="200"/>
      <c r="K2233" s="201"/>
      <c r="L2233" s="276"/>
      <c r="M2233" s="276"/>
      <c r="N2233" s="235"/>
      <c r="O2233" s="235"/>
      <c r="P2233" s="235"/>
      <c r="Q2233" s="235"/>
      <c r="R2233" s="235"/>
      <c r="S2233" s="236"/>
      <c r="T2233" s="236"/>
      <c r="U2233" s="236"/>
      <c r="V2233" s="235"/>
      <c r="W2233" s="235"/>
      <c r="X2233" s="235"/>
      <c r="Y2233" s="235"/>
      <c r="Z2233" s="235"/>
    </row>
    <row r="2234" spans="1:26" ht="18" customHeight="1" x14ac:dyDescent="0.2">
      <c r="A2234" s="279">
        <f t="shared" si="2581"/>
        <v>45085</v>
      </c>
      <c r="B2234" s="280" t="s">
        <v>194</v>
      </c>
      <c r="C2234" s="197"/>
      <c r="D2234" s="197"/>
      <c r="E2234" s="197"/>
      <c r="F2234" s="197"/>
      <c r="G2234" s="198"/>
      <c r="H2234" s="199"/>
      <c r="I2234" s="199"/>
      <c r="J2234" s="200"/>
      <c r="K2234" s="201"/>
      <c r="L2234" s="276"/>
      <c r="M2234" s="276"/>
      <c r="N2234" s="235"/>
      <c r="O2234" s="235"/>
      <c r="P2234" s="235"/>
      <c r="Q2234" s="235"/>
      <c r="R2234" s="235"/>
      <c r="S2234" s="236"/>
      <c r="T2234" s="236"/>
      <c r="U2234" s="236"/>
      <c r="V2234" s="235"/>
      <c r="W2234" s="235"/>
      <c r="X2234" s="235"/>
      <c r="Y2234" s="235"/>
      <c r="Z2234" s="235"/>
    </row>
    <row r="2235" spans="1:26" ht="18" customHeight="1" x14ac:dyDescent="0.2">
      <c r="A2235" s="279">
        <f t="shared" si="2581"/>
        <v>45086</v>
      </c>
      <c r="B2235" s="278" t="s">
        <v>189</v>
      </c>
      <c r="C2235" s="197"/>
      <c r="D2235" s="197"/>
      <c r="E2235" s="197"/>
      <c r="F2235" s="197"/>
      <c r="G2235" s="198"/>
      <c r="H2235" s="199"/>
      <c r="I2235" s="199"/>
      <c r="J2235" s="200"/>
      <c r="K2235" s="201"/>
      <c r="L2235" s="276"/>
      <c r="M2235" s="276"/>
      <c r="N2235" s="235"/>
      <c r="O2235" s="235"/>
      <c r="P2235" s="235"/>
      <c r="Q2235" s="235"/>
      <c r="R2235" s="235"/>
      <c r="S2235" s="236"/>
      <c r="T2235" s="236"/>
      <c r="U2235" s="236"/>
      <c r="V2235" s="235"/>
      <c r="W2235" s="235"/>
      <c r="X2235" s="235"/>
      <c r="Y2235" s="235"/>
      <c r="Z2235" s="235"/>
    </row>
    <row r="2236" spans="1:26" ht="18" customHeight="1" x14ac:dyDescent="0.2">
      <c r="A2236" s="279">
        <f t="shared" si="2581"/>
        <v>45087</v>
      </c>
      <c r="B2236" s="279" t="s">
        <v>195</v>
      </c>
      <c r="C2236" s="197"/>
      <c r="D2236" s="197"/>
      <c r="E2236" s="197"/>
      <c r="F2236" s="197"/>
      <c r="G2236" s="198"/>
      <c r="H2236" s="199"/>
      <c r="I2236" s="199"/>
      <c r="J2236" s="200"/>
      <c r="K2236" s="201"/>
      <c r="L2236" s="276"/>
      <c r="M2236" s="276"/>
      <c r="N2236" s="235"/>
      <c r="O2236" s="235"/>
      <c r="P2236" s="235"/>
      <c r="Q2236" s="235"/>
      <c r="R2236" s="235"/>
      <c r="S2236" s="236"/>
      <c r="T2236" s="236"/>
      <c r="U2236" s="236"/>
      <c r="V2236" s="235"/>
      <c r="W2236" s="235"/>
      <c r="X2236" s="235"/>
      <c r="Y2236" s="235"/>
      <c r="Z2236" s="235"/>
    </row>
    <row r="2237" spans="1:26" ht="18" customHeight="1" x14ac:dyDescent="0.2">
      <c r="A2237" s="279">
        <f t="shared" si="2581"/>
        <v>45088</v>
      </c>
      <c r="B2237" s="278" t="s">
        <v>190</v>
      </c>
      <c r="C2237" s="197"/>
      <c r="D2237" s="197"/>
      <c r="E2237" s="197"/>
      <c r="F2237" s="197"/>
      <c r="G2237" s="198"/>
      <c r="H2237" s="199"/>
      <c r="I2237" s="199"/>
      <c r="J2237" s="200"/>
      <c r="K2237" s="201"/>
      <c r="L2237" s="276"/>
      <c r="M2237" s="276"/>
      <c r="N2237" s="235"/>
      <c r="O2237" s="235"/>
      <c r="P2237" s="235"/>
      <c r="Q2237" s="235"/>
      <c r="R2237" s="235"/>
      <c r="S2237" s="236"/>
      <c r="T2237" s="236"/>
      <c r="U2237" s="236"/>
      <c r="V2237" s="235"/>
      <c r="W2237" s="235"/>
      <c r="X2237" s="235"/>
      <c r="Y2237" s="235"/>
      <c r="Z2237" s="235"/>
    </row>
    <row r="2238" spans="1:26" ht="18" customHeight="1" x14ac:dyDescent="0.2">
      <c r="A2238" s="279">
        <f t="shared" si="2581"/>
        <v>45089</v>
      </c>
      <c r="B2238" s="280" t="s">
        <v>191</v>
      </c>
      <c r="C2238" s="197"/>
      <c r="D2238" s="197"/>
      <c r="E2238" s="197"/>
      <c r="F2238" s="197"/>
      <c r="G2238" s="198"/>
      <c r="H2238" s="199"/>
      <c r="I2238" s="199"/>
      <c r="J2238" s="200"/>
      <c r="K2238" s="201"/>
      <c r="L2238" s="276"/>
      <c r="M2238" s="276"/>
      <c r="N2238" s="235"/>
      <c r="O2238" s="235"/>
      <c r="P2238" s="235"/>
      <c r="Q2238" s="235"/>
      <c r="R2238" s="235"/>
      <c r="S2238" s="236"/>
      <c r="T2238" s="236"/>
      <c r="U2238" s="236"/>
      <c r="V2238" s="235"/>
      <c r="W2238" s="235"/>
      <c r="X2238" s="235"/>
      <c r="Y2238" s="235"/>
      <c r="Z2238" s="235"/>
    </row>
    <row r="2239" spans="1:26" ht="18" customHeight="1" x14ac:dyDescent="0.2">
      <c r="A2239" s="279">
        <f t="shared" si="2581"/>
        <v>45090</v>
      </c>
      <c r="B2239" s="280" t="s">
        <v>192</v>
      </c>
      <c r="C2239" s="197"/>
      <c r="D2239" s="197"/>
      <c r="E2239" s="197"/>
      <c r="F2239" s="197"/>
      <c r="G2239" s="198"/>
      <c r="H2239" s="199"/>
      <c r="I2239" s="199"/>
      <c r="J2239" s="200"/>
      <c r="K2239" s="201"/>
      <c r="L2239" s="276"/>
      <c r="M2239" s="276"/>
      <c r="N2239" s="235"/>
      <c r="O2239" s="235"/>
      <c r="P2239" s="235"/>
      <c r="Q2239" s="235"/>
      <c r="R2239" s="235"/>
      <c r="S2239" s="236"/>
      <c r="T2239" s="236"/>
      <c r="U2239" s="236"/>
      <c r="V2239" s="235"/>
      <c r="W2239" s="235"/>
      <c r="X2239" s="235"/>
      <c r="Y2239" s="235"/>
      <c r="Z2239" s="235"/>
    </row>
    <row r="2240" spans="1:26" ht="18" customHeight="1" x14ac:dyDescent="0.2">
      <c r="A2240" s="279">
        <f t="shared" si="2581"/>
        <v>45091</v>
      </c>
      <c r="B2240" s="280" t="s">
        <v>193</v>
      </c>
      <c r="C2240" s="197"/>
      <c r="D2240" s="197"/>
      <c r="E2240" s="197"/>
      <c r="F2240" s="197"/>
      <c r="G2240" s="198"/>
      <c r="H2240" s="199"/>
      <c r="I2240" s="199"/>
      <c r="J2240" s="200"/>
      <c r="K2240" s="201"/>
      <c r="L2240" s="276"/>
      <c r="M2240" s="276"/>
      <c r="N2240" s="235"/>
      <c r="O2240" s="235"/>
      <c r="P2240" s="235"/>
      <c r="Q2240" s="235"/>
      <c r="R2240" s="235"/>
      <c r="S2240" s="236"/>
      <c r="T2240" s="236"/>
      <c r="U2240" s="236"/>
      <c r="V2240" s="235"/>
      <c r="W2240" s="235"/>
      <c r="X2240" s="235"/>
      <c r="Y2240" s="235"/>
      <c r="Z2240" s="235"/>
    </row>
    <row r="2241" spans="1:26" ht="18" customHeight="1" x14ac:dyDescent="0.2">
      <c r="A2241" s="279">
        <f t="shared" si="2581"/>
        <v>45092</v>
      </c>
      <c r="B2241" s="280" t="s">
        <v>194</v>
      </c>
      <c r="C2241" s="197"/>
      <c r="D2241" s="197"/>
      <c r="E2241" s="197"/>
      <c r="F2241" s="197"/>
      <c r="G2241" s="198"/>
      <c r="H2241" s="199"/>
      <c r="I2241" s="199"/>
      <c r="J2241" s="200"/>
      <c r="K2241" s="201"/>
      <c r="L2241" s="276"/>
      <c r="M2241" s="276"/>
      <c r="N2241" s="235"/>
      <c r="O2241" s="235"/>
      <c r="P2241" s="235"/>
      <c r="Q2241" s="235"/>
      <c r="R2241" s="235"/>
      <c r="S2241" s="236"/>
      <c r="T2241" s="236"/>
      <c r="U2241" s="236"/>
      <c r="V2241" s="235"/>
      <c r="W2241" s="235"/>
      <c r="X2241" s="235"/>
      <c r="Y2241" s="235"/>
      <c r="Z2241" s="235"/>
    </row>
    <row r="2242" spans="1:26" ht="18" customHeight="1" x14ac:dyDescent="0.2">
      <c r="A2242" s="279">
        <f t="shared" si="2581"/>
        <v>45093</v>
      </c>
      <c r="B2242" s="278" t="s">
        <v>189</v>
      </c>
      <c r="C2242" s="197"/>
      <c r="D2242" s="197"/>
      <c r="E2242" s="197"/>
      <c r="F2242" s="197"/>
      <c r="G2242" s="198"/>
      <c r="H2242" s="199"/>
      <c r="I2242" s="199"/>
      <c r="J2242" s="200"/>
      <c r="K2242" s="201"/>
      <c r="L2242" s="276"/>
      <c r="M2242" s="276"/>
      <c r="N2242" s="235"/>
      <c r="O2242" s="235"/>
      <c r="P2242" s="235"/>
      <c r="Q2242" s="235"/>
      <c r="R2242" s="235"/>
      <c r="S2242" s="236"/>
      <c r="T2242" s="236"/>
      <c r="U2242" s="236"/>
      <c r="V2242" s="235"/>
      <c r="W2242" s="235"/>
      <c r="X2242" s="235"/>
      <c r="Y2242" s="235"/>
      <c r="Z2242" s="235"/>
    </row>
    <row r="2243" spans="1:26" ht="18" customHeight="1" x14ac:dyDescent="0.2">
      <c r="A2243" s="279">
        <f t="shared" si="2581"/>
        <v>45094</v>
      </c>
      <c r="B2243" s="279" t="s">
        <v>195</v>
      </c>
      <c r="C2243" s="197"/>
      <c r="D2243" s="197"/>
      <c r="E2243" s="197"/>
      <c r="F2243" s="197"/>
      <c r="G2243" s="198"/>
      <c r="H2243" s="199"/>
      <c r="I2243" s="199"/>
      <c r="J2243" s="200"/>
      <c r="K2243" s="201"/>
      <c r="L2243" s="276"/>
      <c r="M2243" s="276"/>
      <c r="N2243" s="235"/>
      <c r="O2243" s="235"/>
      <c r="P2243" s="235"/>
      <c r="Q2243" s="235"/>
      <c r="R2243" s="235"/>
      <c r="S2243" s="236"/>
      <c r="T2243" s="236"/>
      <c r="U2243" s="236"/>
      <c r="V2243" s="235"/>
      <c r="W2243" s="235"/>
      <c r="X2243" s="235"/>
      <c r="Y2243" s="235"/>
      <c r="Z2243" s="235"/>
    </row>
    <row r="2244" spans="1:26" ht="18" customHeight="1" x14ac:dyDescent="0.2">
      <c r="A2244" s="279">
        <f t="shared" si="2581"/>
        <v>45095</v>
      </c>
      <c r="B2244" s="278" t="s">
        <v>190</v>
      </c>
      <c r="C2244" s="197"/>
      <c r="D2244" s="197"/>
      <c r="E2244" s="197"/>
      <c r="F2244" s="197"/>
      <c r="G2244" s="198"/>
      <c r="H2244" s="199"/>
      <c r="I2244" s="199"/>
      <c r="J2244" s="200"/>
      <c r="K2244" s="201"/>
      <c r="L2244" s="276"/>
      <c r="M2244" s="276"/>
      <c r="N2244" s="235"/>
      <c r="O2244" s="235"/>
      <c r="P2244" s="235"/>
      <c r="Q2244" s="235"/>
      <c r="R2244" s="235"/>
      <c r="S2244" s="236"/>
      <c r="T2244" s="236"/>
      <c r="U2244" s="236"/>
      <c r="V2244" s="235"/>
      <c r="W2244" s="235"/>
      <c r="X2244" s="235"/>
      <c r="Y2244" s="235"/>
      <c r="Z2244" s="235"/>
    </row>
    <row r="2245" spans="1:26" ht="18" customHeight="1" x14ac:dyDescent="0.2">
      <c r="A2245" s="279">
        <f t="shared" si="2581"/>
        <v>45096</v>
      </c>
      <c r="B2245" s="280" t="s">
        <v>191</v>
      </c>
      <c r="C2245" s="197"/>
      <c r="D2245" s="197"/>
      <c r="E2245" s="197"/>
      <c r="F2245" s="197"/>
      <c r="G2245" s="198"/>
      <c r="H2245" s="199"/>
      <c r="I2245" s="199"/>
      <c r="J2245" s="200"/>
      <c r="K2245" s="201"/>
      <c r="L2245" s="276"/>
      <c r="M2245" s="276"/>
      <c r="N2245" s="235"/>
      <c r="O2245" s="235"/>
      <c r="P2245" s="235"/>
      <c r="Q2245" s="235"/>
      <c r="R2245" s="235"/>
      <c r="S2245" s="236"/>
      <c r="T2245" s="236"/>
      <c r="U2245" s="236"/>
      <c r="V2245" s="235"/>
      <c r="W2245" s="235"/>
      <c r="X2245" s="235"/>
      <c r="Y2245" s="235"/>
      <c r="Z2245" s="235"/>
    </row>
    <row r="2246" spans="1:26" ht="18" customHeight="1" x14ac:dyDescent="0.2">
      <c r="A2246" s="279">
        <f t="shared" si="2581"/>
        <v>45097</v>
      </c>
      <c r="B2246" s="280" t="s">
        <v>192</v>
      </c>
      <c r="C2246" s="197"/>
      <c r="D2246" s="197"/>
      <c r="E2246" s="197"/>
      <c r="F2246" s="197"/>
      <c r="G2246" s="198"/>
      <c r="H2246" s="199"/>
      <c r="I2246" s="199"/>
      <c r="J2246" s="200"/>
      <c r="K2246" s="201"/>
      <c r="L2246" s="276"/>
      <c r="M2246" s="276"/>
      <c r="N2246" s="235"/>
      <c r="O2246" s="235"/>
      <c r="P2246" s="235"/>
      <c r="Q2246" s="235"/>
      <c r="R2246" s="235"/>
      <c r="S2246" s="236"/>
      <c r="T2246" s="236"/>
      <c r="U2246" s="236"/>
      <c r="V2246" s="235"/>
      <c r="W2246" s="235"/>
      <c r="X2246" s="235"/>
      <c r="Y2246" s="235"/>
      <c r="Z2246" s="235"/>
    </row>
    <row r="2247" spans="1:26" ht="18" customHeight="1" x14ac:dyDescent="0.2">
      <c r="A2247" s="279">
        <f t="shared" si="2581"/>
        <v>45098</v>
      </c>
      <c r="B2247" s="280" t="s">
        <v>193</v>
      </c>
      <c r="C2247" s="197"/>
      <c r="D2247" s="197"/>
      <c r="E2247" s="197"/>
      <c r="F2247" s="197"/>
      <c r="G2247" s="198"/>
      <c r="H2247" s="199"/>
      <c r="I2247" s="199"/>
      <c r="J2247" s="200"/>
      <c r="K2247" s="201"/>
      <c r="L2247" s="276"/>
      <c r="M2247" s="276"/>
      <c r="N2247" s="235"/>
      <c r="O2247" s="235"/>
      <c r="P2247" s="235"/>
      <c r="Q2247" s="235"/>
      <c r="R2247" s="235"/>
      <c r="S2247" s="236"/>
      <c r="T2247" s="236"/>
      <c r="U2247" s="236"/>
      <c r="V2247" s="235"/>
      <c r="W2247" s="235"/>
      <c r="X2247" s="235"/>
      <c r="Y2247" s="235"/>
      <c r="Z2247" s="235"/>
    </row>
    <row r="2248" spans="1:26" ht="18" customHeight="1" x14ac:dyDescent="0.2">
      <c r="A2248" s="279">
        <f t="shared" si="2581"/>
        <v>45099</v>
      </c>
      <c r="B2248" s="280" t="s">
        <v>194</v>
      </c>
      <c r="C2248" s="197"/>
      <c r="D2248" s="197"/>
      <c r="E2248" s="197"/>
      <c r="F2248" s="197"/>
      <c r="G2248" s="198"/>
      <c r="H2248" s="199"/>
      <c r="I2248" s="199"/>
      <c r="J2248" s="200"/>
      <c r="K2248" s="201"/>
      <c r="L2248" s="276"/>
      <c r="M2248" s="276"/>
      <c r="N2248" s="235"/>
      <c r="O2248" s="235"/>
      <c r="P2248" s="235"/>
      <c r="Q2248" s="235"/>
      <c r="R2248" s="235"/>
      <c r="S2248" s="236"/>
      <c r="T2248" s="236"/>
      <c r="U2248" s="236"/>
      <c r="V2248" s="235"/>
      <c r="W2248" s="235"/>
      <c r="X2248" s="235"/>
      <c r="Y2248" s="235"/>
      <c r="Z2248" s="235"/>
    </row>
    <row r="2249" spans="1:26" ht="18" customHeight="1" x14ac:dyDescent="0.2">
      <c r="A2249" s="279">
        <f t="shared" si="2581"/>
        <v>45100</v>
      </c>
      <c r="B2249" s="278" t="s">
        <v>189</v>
      </c>
      <c r="C2249" s="197"/>
      <c r="D2249" s="197"/>
      <c r="E2249" s="197"/>
      <c r="F2249" s="197"/>
      <c r="G2249" s="198"/>
      <c r="H2249" s="199"/>
      <c r="I2249" s="199"/>
      <c r="J2249" s="200"/>
      <c r="K2249" s="201"/>
      <c r="L2249" s="276"/>
      <c r="M2249" s="276"/>
      <c r="N2249" s="235"/>
      <c r="O2249" s="235"/>
      <c r="P2249" s="235"/>
      <c r="Q2249" s="235"/>
      <c r="R2249" s="235"/>
      <c r="S2249" s="236"/>
      <c r="T2249" s="236"/>
      <c r="U2249" s="236"/>
      <c r="V2249" s="235"/>
      <c r="W2249" s="235"/>
      <c r="X2249" s="235"/>
      <c r="Y2249" s="235"/>
      <c r="Z2249" s="235"/>
    </row>
    <row r="2250" spans="1:26" ht="18" customHeight="1" x14ac:dyDescent="0.2">
      <c r="A2250" s="279">
        <f t="shared" si="2581"/>
        <v>45101</v>
      </c>
      <c r="B2250" s="279" t="s">
        <v>195</v>
      </c>
      <c r="C2250" s="197"/>
      <c r="D2250" s="197"/>
      <c r="E2250" s="197"/>
      <c r="F2250" s="197"/>
      <c r="G2250" s="198"/>
      <c r="H2250" s="199"/>
      <c r="I2250" s="199"/>
      <c r="J2250" s="200"/>
      <c r="K2250" s="201"/>
      <c r="L2250" s="276"/>
      <c r="M2250" s="276"/>
      <c r="N2250" s="235"/>
      <c r="O2250" s="235"/>
      <c r="P2250" s="235"/>
      <c r="Q2250" s="235"/>
      <c r="R2250" s="235"/>
      <c r="S2250" s="236"/>
      <c r="T2250" s="236"/>
      <c r="U2250" s="236"/>
      <c r="V2250" s="235"/>
      <c r="W2250" s="235"/>
      <c r="X2250" s="235"/>
      <c r="Y2250" s="235"/>
      <c r="Z2250" s="235"/>
    </row>
    <row r="2251" spans="1:26" ht="18" customHeight="1" x14ac:dyDescent="0.2">
      <c r="A2251" s="279">
        <f t="shared" si="2581"/>
        <v>45102</v>
      </c>
      <c r="B2251" s="278" t="s">
        <v>190</v>
      </c>
      <c r="C2251" s="197"/>
      <c r="D2251" s="197"/>
      <c r="E2251" s="197"/>
      <c r="F2251" s="197"/>
      <c r="G2251" s="198"/>
      <c r="H2251" s="199"/>
      <c r="I2251" s="199"/>
      <c r="J2251" s="200"/>
      <c r="K2251" s="201"/>
      <c r="L2251" s="276"/>
      <c r="M2251" s="276"/>
      <c r="N2251" s="235"/>
      <c r="O2251" s="235"/>
      <c r="P2251" s="235"/>
      <c r="Q2251" s="235"/>
      <c r="R2251" s="235"/>
      <c r="S2251" s="236"/>
      <c r="T2251" s="236"/>
      <c r="U2251" s="236"/>
      <c r="V2251" s="235"/>
      <c r="W2251" s="235"/>
      <c r="X2251" s="235"/>
      <c r="Y2251" s="235"/>
      <c r="Z2251" s="235"/>
    </row>
    <row r="2252" spans="1:26" ht="18" customHeight="1" x14ac:dyDescent="0.2">
      <c r="A2252" s="279">
        <f t="shared" si="2581"/>
        <v>45103</v>
      </c>
      <c r="B2252" s="280" t="s">
        <v>191</v>
      </c>
      <c r="C2252" s="197"/>
      <c r="D2252" s="197"/>
      <c r="E2252" s="197"/>
      <c r="F2252" s="197"/>
      <c r="G2252" s="198"/>
      <c r="H2252" s="199"/>
      <c r="I2252" s="199"/>
      <c r="J2252" s="200"/>
      <c r="K2252" s="201"/>
      <c r="L2252" s="276"/>
      <c r="M2252" s="276"/>
      <c r="N2252" s="235"/>
      <c r="O2252" s="235"/>
      <c r="P2252" s="235"/>
      <c r="Q2252" s="235"/>
      <c r="R2252" s="235"/>
      <c r="S2252" s="236"/>
      <c r="T2252" s="236"/>
      <c r="U2252" s="236"/>
      <c r="V2252" s="235"/>
      <c r="W2252" s="235"/>
      <c r="X2252" s="235"/>
      <c r="Y2252" s="235"/>
      <c r="Z2252" s="235"/>
    </row>
    <row r="2253" spans="1:26" ht="18" customHeight="1" x14ac:dyDescent="0.2">
      <c r="A2253" s="279">
        <f t="shared" si="2581"/>
        <v>45104</v>
      </c>
      <c r="B2253" s="280" t="s">
        <v>192</v>
      </c>
      <c r="C2253" s="197"/>
      <c r="D2253" s="197"/>
      <c r="E2253" s="197"/>
      <c r="F2253" s="197"/>
      <c r="G2253" s="198"/>
      <c r="H2253" s="199"/>
      <c r="I2253" s="199"/>
      <c r="J2253" s="200"/>
      <c r="K2253" s="201"/>
      <c r="L2253" s="276"/>
      <c r="M2253" s="276"/>
      <c r="N2253" s="235"/>
      <c r="O2253" s="235"/>
      <c r="P2253" s="235"/>
      <c r="Q2253" s="235"/>
      <c r="R2253" s="235"/>
      <c r="S2253" s="236"/>
      <c r="T2253" s="236"/>
      <c r="U2253" s="236"/>
      <c r="V2253" s="235"/>
      <c r="W2253" s="235"/>
      <c r="X2253" s="235"/>
      <c r="Y2253" s="235"/>
      <c r="Z2253" s="235"/>
    </row>
    <row r="2254" spans="1:26" ht="18" customHeight="1" x14ac:dyDescent="0.2">
      <c r="A2254" s="279">
        <f t="shared" si="2581"/>
        <v>45105</v>
      </c>
      <c r="B2254" s="280" t="s">
        <v>193</v>
      </c>
      <c r="C2254" s="197"/>
      <c r="D2254" s="197"/>
      <c r="E2254" s="197"/>
      <c r="F2254" s="197"/>
      <c r="G2254" s="198"/>
      <c r="H2254" s="199"/>
      <c r="I2254" s="199"/>
      <c r="J2254" s="200"/>
      <c r="K2254" s="201"/>
      <c r="L2254" s="276"/>
      <c r="M2254" s="276"/>
      <c r="N2254" s="235"/>
      <c r="O2254" s="235"/>
      <c r="P2254" s="235"/>
      <c r="Q2254" s="235"/>
      <c r="R2254" s="235"/>
      <c r="S2254" s="236"/>
      <c r="T2254" s="236"/>
      <c r="U2254" s="236"/>
      <c r="V2254" s="235"/>
      <c r="W2254" s="235"/>
      <c r="X2254" s="235"/>
      <c r="Y2254" s="235"/>
      <c r="Z2254" s="235"/>
    </row>
    <row r="2255" spans="1:26" ht="18" customHeight="1" x14ac:dyDescent="0.2">
      <c r="A2255" s="279">
        <f t="shared" si="2581"/>
        <v>45106</v>
      </c>
      <c r="B2255" s="280" t="s">
        <v>194</v>
      </c>
      <c r="C2255" s="197"/>
      <c r="D2255" s="197"/>
      <c r="E2255" s="197"/>
      <c r="F2255" s="197"/>
      <c r="G2255" s="198"/>
      <c r="H2255" s="199"/>
      <c r="I2255" s="199"/>
      <c r="J2255" s="200"/>
      <c r="K2255" s="201"/>
      <c r="L2255" s="276"/>
      <c r="M2255" s="276"/>
      <c r="N2255" s="235"/>
      <c r="O2255" s="235"/>
      <c r="P2255" s="235"/>
      <c r="Q2255" s="235"/>
      <c r="R2255" s="235"/>
      <c r="S2255" s="236"/>
      <c r="T2255" s="236"/>
      <c r="U2255" s="236"/>
      <c r="V2255" s="235"/>
      <c r="W2255" s="235"/>
      <c r="X2255" s="235"/>
      <c r="Y2255" s="235"/>
      <c r="Z2255" s="235"/>
    </row>
    <row r="2256" spans="1:26" ht="18" customHeight="1" x14ac:dyDescent="0.2">
      <c r="A2256" s="279">
        <f t="shared" si="2581"/>
        <v>45107</v>
      </c>
      <c r="B2256" s="278" t="s">
        <v>189</v>
      </c>
      <c r="C2256" s="197"/>
      <c r="D2256" s="197"/>
      <c r="E2256" s="197"/>
      <c r="F2256" s="197"/>
      <c r="G2256" s="198"/>
      <c r="H2256" s="199"/>
      <c r="I2256" s="199"/>
      <c r="J2256" s="200"/>
      <c r="K2256" s="201"/>
      <c r="L2256" s="276"/>
      <c r="M2256" s="276"/>
      <c r="N2256" s="235"/>
      <c r="O2256" s="235"/>
      <c r="P2256" s="235"/>
      <c r="Q2256" s="235"/>
      <c r="R2256" s="235"/>
      <c r="S2256" s="236"/>
      <c r="T2256" s="236"/>
      <c r="U2256" s="236"/>
      <c r="V2256" s="235"/>
      <c r="W2256" s="235"/>
      <c r="X2256" s="235"/>
      <c r="Y2256" s="235"/>
      <c r="Z2256" s="235"/>
    </row>
    <row r="2257" spans="1:26" ht="18" customHeight="1" x14ac:dyDescent="0.2">
      <c r="A2257" s="279">
        <f t="shared" si="2581"/>
        <v>45108</v>
      </c>
      <c r="B2257" s="279" t="s">
        <v>195</v>
      </c>
      <c r="C2257" s="197"/>
      <c r="D2257" s="197"/>
      <c r="E2257" s="197"/>
      <c r="F2257" s="197"/>
      <c r="G2257" s="198"/>
      <c r="H2257" s="199"/>
      <c r="I2257" s="199"/>
      <c r="J2257" s="200"/>
      <c r="K2257" s="201"/>
      <c r="L2257" s="276"/>
      <c r="M2257" s="276"/>
      <c r="N2257" s="235"/>
      <c r="O2257" s="235"/>
      <c r="P2257" s="235"/>
      <c r="Q2257" s="235"/>
      <c r="R2257" s="235"/>
      <c r="S2257" s="236"/>
      <c r="T2257" s="236"/>
      <c r="U2257" s="236"/>
      <c r="V2257" s="235"/>
      <c r="W2257" s="235"/>
      <c r="X2257" s="235"/>
      <c r="Y2257" s="235"/>
      <c r="Z2257" s="235"/>
    </row>
    <row r="2258" spans="1:26" ht="18" customHeight="1" x14ac:dyDescent="0.2">
      <c r="A2258" s="279">
        <f t="shared" si="2581"/>
        <v>45109</v>
      </c>
      <c r="B2258" s="278" t="s">
        <v>190</v>
      </c>
      <c r="C2258" s="197"/>
      <c r="D2258" s="197"/>
      <c r="E2258" s="197"/>
      <c r="F2258" s="197"/>
      <c r="G2258" s="198"/>
      <c r="H2258" s="199"/>
      <c r="I2258" s="199"/>
      <c r="J2258" s="200"/>
      <c r="K2258" s="201"/>
      <c r="L2258" s="276"/>
      <c r="M2258" s="276"/>
      <c r="N2258" s="235"/>
      <c r="O2258" s="235"/>
      <c r="P2258" s="235"/>
      <c r="Q2258" s="235"/>
      <c r="R2258" s="235"/>
      <c r="S2258" s="236"/>
      <c r="T2258" s="236"/>
      <c r="U2258" s="236"/>
      <c r="V2258" s="235"/>
      <c r="W2258" s="235"/>
      <c r="X2258" s="235"/>
      <c r="Y2258" s="235"/>
      <c r="Z2258" s="235"/>
    </row>
    <row r="2259" spans="1:26" ht="18" customHeight="1" x14ac:dyDescent="0.2">
      <c r="A2259" s="279">
        <f t="shared" si="2581"/>
        <v>45110</v>
      </c>
      <c r="B2259" s="280" t="s">
        <v>191</v>
      </c>
      <c r="C2259" s="197"/>
      <c r="D2259" s="197"/>
      <c r="E2259" s="197"/>
      <c r="F2259" s="197"/>
      <c r="G2259" s="198"/>
      <c r="H2259" s="199"/>
      <c r="I2259" s="199"/>
      <c r="J2259" s="200"/>
      <c r="K2259" s="201"/>
      <c r="L2259" s="276"/>
      <c r="M2259" s="276"/>
      <c r="N2259" s="235"/>
      <c r="O2259" s="235"/>
      <c r="P2259" s="235"/>
      <c r="Q2259" s="235"/>
      <c r="R2259" s="235"/>
      <c r="S2259" s="236"/>
      <c r="T2259" s="236"/>
      <c r="U2259" s="236"/>
      <c r="V2259" s="235"/>
      <c r="W2259" s="235"/>
      <c r="X2259" s="235"/>
      <c r="Y2259" s="235"/>
      <c r="Z2259" s="235"/>
    </row>
    <row r="2260" spans="1:26" ht="18" customHeight="1" x14ac:dyDescent="0.2">
      <c r="A2260" s="279">
        <f t="shared" si="2581"/>
        <v>45111</v>
      </c>
      <c r="B2260" s="280" t="s">
        <v>192</v>
      </c>
      <c r="C2260" s="197"/>
      <c r="D2260" s="197"/>
      <c r="E2260" s="197"/>
      <c r="F2260" s="197"/>
      <c r="G2260" s="198"/>
      <c r="H2260" s="199"/>
      <c r="I2260" s="199"/>
      <c r="J2260" s="200"/>
      <c r="K2260" s="201"/>
      <c r="L2260" s="276"/>
      <c r="M2260" s="276"/>
      <c r="N2260" s="235"/>
      <c r="O2260" s="235"/>
      <c r="P2260" s="235"/>
      <c r="Q2260" s="235"/>
      <c r="R2260" s="235"/>
      <c r="S2260" s="236"/>
      <c r="T2260" s="236"/>
      <c r="U2260" s="236"/>
      <c r="V2260" s="235"/>
      <c r="W2260" s="235"/>
      <c r="X2260" s="235"/>
      <c r="Y2260" s="235"/>
      <c r="Z2260" s="235"/>
    </row>
    <row r="2261" spans="1:26" ht="18" customHeight="1" x14ac:dyDescent="0.2">
      <c r="A2261" s="279">
        <f t="shared" si="2581"/>
        <v>45112</v>
      </c>
      <c r="B2261" s="280" t="s">
        <v>193</v>
      </c>
      <c r="C2261" s="197"/>
      <c r="D2261" s="197"/>
      <c r="E2261" s="197"/>
      <c r="F2261" s="197"/>
      <c r="G2261" s="198"/>
      <c r="H2261" s="199"/>
      <c r="I2261" s="199"/>
      <c r="J2261" s="200"/>
      <c r="K2261" s="201"/>
      <c r="L2261" s="276"/>
      <c r="M2261" s="276"/>
      <c r="N2261" s="235"/>
      <c r="O2261" s="235"/>
      <c r="P2261" s="235"/>
      <c r="Q2261" s="235"/>
      <c r="R2261" s="235"/>
      <c r="S2261" s="236"/>
      <c r="T2261" s="236"/>
      <c r="U2261" s="236"/>
      <c r="V2261" s="235"/>
      <c r="W2261" s="235"/>
      <c r="X2261" s="235"/>
      <c r="Y2261" s="235"/>
      <c r="Z2261" s="235"/>
    </row>
    <row r="2262" spans="1:26" ht="18" customHeight="1" x14ac:dyDescent="0.2">
      <c r="A2262" s="279">
        <f t="shared" si="2581"/>
        <v>45113</v>
      </c>
      <c r="B2262" s="280" t="s">
        <v>194</v>
      </c>
      <c r="C2262" s="197"/>
      <c r="D2262" s="197"/>
      <c r="E2262" s="197"/>
      <c r="F2262" s="197"/>
      <c r="G2262" s="198"/>
      <c r="H2262" s="199"/>
      <c r="I2262" s="199"/>
      <c r="J2262" s="200"/>
      <c r="K2262" s="201"/>
      <c r="L2262" s="276"/>
      <c r="M2262" s="276"/>
      <c r="N2262" s="235"/>
      <c r="O2262" s="235"/>
      <c r="P2262" s="235"/>
      <c r="Q2262" s="235"/>
      <c r="R2262" s="235"/>
      <c r="S2262" s="236"/>
      <c r="T2262" s="236"/>
      <c r="U2262" s="236"/>
      <c r="V2262" s="235"/>
      <c r="W2262" s="235"/>
      <c r="X2262" s="235"/>
      <c r="Y2262" s="235"/>
      <c r="Z2262" s="235"/>
    </row>
    <row r="2263" spans="1:26" ht="18" customHeight="1" x14ac:dyDescent="0.2">
      <c r="A2263" s="279">
        <f t="shared" si="2581"/>
        <v>45114</v>
      </c>
      <c r="B2263" s="278" t="s">
        <v>189</v>
      </c>
      <c r="C2263" s="197"/>
      <c r="D2263" s="197"/>
      <c r="E2263" s="197"/>
      <c r="F2263" s="197"/>
      <c r="G2263" s="198"/>
      <c r="H2263" s="199"/>
      <c r="I2263" s="199"/>
      <c r="J2263" s="200"/>
      <c r="K2263" s="201"/>
      <c r="L2263" s="276"/>
      <c r="M2263" s="276"/>
      <c r="N2263" s="235"/>
      <c r="O2263" s="235"/>
      <c r="P2263" s="235"/>
      <c r="Q2263" s="235"/>
      <c r="R2263" s="235"/>
      <c r="S2263" s="236"/>
      <c r="T2263" s="236"/>
      <c r="U2263" s="236"/>
      <c r="V2263" s="235"/>
      <c r="W2263" s="235"/>
      <c r="X2263" s="235"/>
      <c r="Y2263" s="235"/>
      <c r="Z2263" s="235"/>
    </row>
    <row r="2264" spans="1:26" ht="18" customHeight="1" x14ac:dyDescent="0.2">
      <c r="A2264" s="279">
        <f t="shared" si="2581"/>
        <v>45115</v>
      </c>
      <c r="B2264" s="279" t="s">
        <v>195</v>
      </c>
      <c r="C2264" s="197"/>
      <c r="D2264" s="197"/>
      <c r="E2264" s="197"/>
      <c r="F2264" s="197"/>
      <c r="G2264" s="198"/>
      <c r="H2264" s="199"/>
      <c r="I2264" s="199"/>
      <c r="J2264" s="200"/>
      <c r="K2264" s="201"/>
      <c r="L2264" s="276"/>
      <c r="M2264" s="276"/>
      <c r="N2264" s="235"/>
      <c r="O2264" s="235"/>
      <c r="P2264" s="235"/>
      <c r="Q2264" s="235"/>
      <c r="R2264" s="235"/>
      <c r="S2264" s="236"/>
      <c r="T2264" s="236"/>
      <c r="U2264" s="236"/>
      <c r="V2264" s="235"/>
      <c r="W2264" s="235"/>
      <c r="X2264" s="235"/>
      <c r="Y2264" s="235"/>
      <c r="Z2264" s="235"/>
    </row>
    <row r="2265" spans="1:26" ht="18" customHeight="1" x14ac:dyDescent="0.2">
      <c r="A2265" s="279">
        <f t="shared" si="2581"/>
        <v>45116</v>
      </c>
      <c r="B2265" s="278" t="s">
        <v>190</v>
      </c>
      <c r="C2265" s="197"/>
      <c r="D2265" s="197"/>
      <c r="E2265" s="197"/>
      <c r="F2265" s="197"/>
      <c r="G2265" s="198"/>
      <c r="H2265" s="199"/>
      <c r="I2265" s="199"/>
      <c r="J2265" s="200"/>
      <c r="K2265" s="201"/>
      <c r="L2265" s="276"/>
      <c r="M2265" s="276"/>
      <c r="N2265" s="235"/>
      <c r="O2265" s="235"/>
      <c r="P2265" s="235"/>
      <c r="Q2265" s="235"/>
      <c r="R2265" s="235"/>
      <c r="S2265" s="236"/>
      <c r="T2265" s="236"/>
      <c r="U2265" s="236"/>
      <c r="V2265" s="235"/>
      <c r="W2265" s="235"/>
      <c r="X2265" s="235"/>
      <c r="Y2265" s="235"/>
      <c r="Z2265" s="235"/>
    </row>
    <row r="2266" spans="1:26" ht="18" customHeight="1" x14ac:dyDescent="0.2">
      <c r="A2266" s="279">
        <f t="shared" si="2581"/>
        <v>45117</v>
      </c>
      <c r="B2266" s="280" t="s">
        <v>191</v>
      </c>
      <c r="C2266" s="197"/>
      <c r="D2266" s="197"/>
      <c r="E2266" s="197"/>
      <c r="F2266" s="197"/>
      <c r="G2266" s="198"/>
      <c r="H2266" s="199"/>
      <c r="I2266" s="199"/>
      <c r="J2266" s="200"/>
      <c r="K2266" s="201"/>
      <c r="L2266" s="276"/>
      <c r="M2266" s="276"/>
      <c r="N2266" s="235"/>
      <c r="O2266" s="235"/>
      <c r="P2266" s="235"/>
      <c r="Q2266" s="235"/>
      <c r="R2266" s="235"/>
      <c r="S2266" s="236"/>
      <c r="T2266" s="236"/>
      <c r="U2266" s="236"/>
      <c r="V2266" s="235"/>
      <c r="W2266" s="235"/>
      <c r="X2266" s="235"/>
      <c r="Y2266" s="235"/>
      <c r="Z2266" s="235"/>
    </row>
    <row r="2267" spans="1:26" ht="18" customHeight="1" x14ac:dyDescent="0.2">
      <c r="A2267" s="279">
        <f t="shared" si="2581"/>
        <v>45118</v>
      </c>
      <c r="B2267" s="280" t="s">
        <v>192</v>
      </c>
      <c r="C2267" s="197"/>
      <c r="D2267" s="197"/>
      <c r="E2267" s="197"/>
      <c r="F2267" s="197"/>
      <c r="G2267" s="198"/>
      <c r="H2267" s="199"/>
      <c r="I2267" s="199"/>
      <c r="J2267" s="200"/>
      <c r="K2267" s="201"/>
      <c r="L2267" s="276"/>
      <c r="M2267" s="276"/>
      <c r="N2267" s="235"/>
      <c r="O2267" s="235"/>
      <c r="P2267" s="235"/>
      <c r="Q2267" s="235"/>
      <c r="R2267" s="235"/>
      <c r="S2267" s="236"/>
      <c r="T2267" s="236"/>
      <c r="U2267" s="236"/>
      <c r="V2267" s="235"/>
      <c r="W2267" s="235"/>
      <c r="X2267" s="235"/>
      <c r="Y2267" s="235"/>
      <c r="Z2267" s="235"/>
    </row>
    <row r="2268" spans="1:26" ht="18" customHeight="1" x14ac:dyDescent="0.2">
      <c r="A2268" s="279">
        <f t="shared" si="2581"/>
        <v>45119</v>
      </c>
      <c r="B2268" s="280" t="s">
        <v>193</v>
      </c>
      <c r="C2268" s="197"/>
      <c r="D2268" s="197"/>
      <c r="E2268" s="197"/>
      <c r="F2268" s="197"/>
      <c r="G2268" s="198"/>
      <c r="H2268" s="199"/>
      <c r="I2268" s="199"/>
      <c r="J2268" s="200"/>
      <c r="K2268" s="201"/>
      <c r="L2268" s="276"/>
      <c r="M2268" s="276"/>
      <c r="N2268" s="235"/>
      <c r="O2268" s="235"/>
      <c r="P2268" s="235"/>
      <c r="Q2268" s="235"/>
      <c r="R2268" s="235"/>
      <c r="S2268" s="236"/>
      <c r="T2268" s="236"/>
      <c r="U2268" s="236"/>
      <c r="V2268" s="235"/>
      <c r="W2268" s="235"/>
      <c r="X2268" s="235"/>
      <c r="Y2268" s="235"/>
      <c r="Z2268" s="235"/>
    </row>
    <row r="2269" spans="1:26" ht="18" customHeight="1" x14ac:dyDescent="0.2">
      <c r="A2269" s="279">
        <f t="shared" si="2581"/>
        <v>45120</v>
      </c>
      <c r="B2269" s="280" t="s">
        <v>194</v>
      </c>
      <c r="C2269" s="197"/>
      <c r="D2269" s="197"/>
      <c r="E2269" s="197"/>
      <c r="F2269" s="197"/>
      <c r="G2269" s="198"/>
      <c r="H2269" s="199"/>
      <c r="I2269" s="199"/>
      <c r="J2269" s="200"/>
      <c r="K2269" s="201"/>
      <c r="L2269" s="276"/>
      <c r="M2269" s="276"/>
      <c r="N2269" s="235"/>
      <c r="O2269" s="235"/>
      <c r="P2269" s="235"/>
      <c r="Q2269" s="235"/>
      <c r="R2269" s="235"/>
      <c r="S2269" s="236"/>
      <c r="T2269" s="236"/>
      <c r="U2269" s="236"/>
      <c r="V2269" s="235"/>
      <c r="W2269" s="235"/>
      <c r="X2269" s="235"/>
      <c r="Y2269" s="235"/>
      <c r="Z2269" s="235"/>
    </row>
    <row r="2270" spans="1:26" ht="18" customHeight="1" x14ac:dyDescent="0.2">
      <c r="A2270" s="279">
        <f t="shared" si="2581"/>
        <v>45121</v>
      </c>
      <c r="B2270" s="278" t="s">
        <v>189</v>
      </c>
      <c r="C2270" s="197"/>
      <c r="D2270" s="197"/>
      <c r="E2270" s="197"/>
      <c r="F2270" s="197"/>
      <c r="G2270" s="198"/>
      <c r="H2270" s="199"/>
      <c r="I2270" s="199"/>
      <c r="J2270" s="200"/>
      <c r="K2270" s="201"/>
      <c r="L2270" s="276"/>
      <c r="M2270" s="276"/>
      <c r="N2270" s="235"/>
      <c r="O2270" s="235"/>
      <c r="P2270" s="235"/>
      <c r="Q2270" s="235"/>
      <c r="R2270" s="235"/>
      <c r="S2270" s="236"/>
      <c r="T2270" s="236"/>
      <c r="U2270" s="236"/>
      <c r="V2270" s="235"/>
      <c r="W2270" s="235"/>
      <c r="X2270" s="235"/>
      <c r="Y2270" s="235"/>
      <c r="Z2270" s="235"/>
    </row>
    <row r="2271" spans="1:26" ht="18" customHeight="1" x14ac:dyDescent="0.2">
      <c r="A2271" s="279">
        <f t="shared" si="2581"/>
        <v>45122</v>
      </c>
      <c r="B2271" s="279" t="s">
        <v>195</v>
      </c>
      <c r="C2271" s="197"/>
      <c r="D2271" s="197"/>
      <c r="E2271" s="197"/>
      <c r="F2271" s="197"/>
      <c r="G2271" s="198"/>
      <c r="H2271" s="199"/>
      <c r="I2271" s="199"/>
      <c r="J2271" s="200"/>
      <c r="K2271" s="201"/>
      <c r="L2271" s="276"/>
      <c r="M2271" s="276"/>
      <c r="N2271" s="235"/>
      <c r="O2271" s="235"/>
      <c r="P2271" s="235"/>
      <c r="Q2271" s="235"/>
      <c r="R2271" s="235"/>
      <c r="S2271" s="236"/>
      <c r="T2271" s="236"/>
      <c r="U2271" s="236"/>
      <c r="V2271" s="235"/>
      <c r="W2271" s="235"/>
      <c r="X2271" s="235"/>
      <c r="Y2271" s="235"/>
      <c r="Z2271" s="235"/>
    </row>
    <row r="2272" spans="1:26" ht="18" customHeight="1" x14ac:dyDescent="0.2">
      <c r="A2272" s="279">
        <f t="shared" si="2581"/>
        <v>45123</v>
      </c>
      <c r="B2272" s="278" t="s">
        <v>190</v>
      </c>
      <c r="C2272" s="197"/>
      <c r="D2272" s="197"/>
      <c r="E2272" s="197"/>
      <c r="F2272" s="197"/>
      <c r="G2272" s="198"/>
      <c r="H2272" s="199"/>
      <c r="I2272" s="199"/>
      <c r="J2272" s="200"/>
      <c r="K2272" s="201"/>
      <c r="L2272" s="276"/>
      <c r="M2272" s="276"/>
      <c r="N2272" s="235"/>
      <c r="O2272" s="235"/>
      <c r="P2272" s="235"/>
      <c r="Q2272" s="235"/>
      <c r="R2272" s="235"/>
      <c r="S2272" s="236"/>
      <c r="T2272" s="236"/>
      <c r="U2272" s="236"/>
      <c r="V2272" s="235"/>
      <c r="W2272" s="235"/>
      <c r="X2272" s="235"/>
      <c r="Y2272" s="235"/>
      <c r="Z2272" s="235"/>
    </row>
    <row r="2273" spans="1:26" ht="18" customHeight="1" x14ac:dyDescent="0.2">
      <c r="A2273" s="279">
        <f t="shared" si="2581"/>
        <v>45124</v>
      </c>
      <c r="B2273" s="280" t="s">
        <v>191</v>
      </c>
      <c r="C2273" s="197"/>
      <c r="D2273" s="197"/>
      <c r="E2273" s="197"/>
      <c r="F2273" s="197"/>
      <c r="G2273" s="198"/>
      <c r="H2273" s="199"/>
      <c r="I2273" s="199"/>
      <c r="J2273" s="200"/>
      <c r="K2273" s="201"/>
      <c r="L2273" s="276"/>
      <c r="M2273" s="276"/>
      <c r="N2273" s="235"/>
      <c r="O2273" s="235"/>
      <c r="P2273" s="235"/>
      <c r="Q2273" s="235"/>
      <c r="R2273" s="235"/>
      <c r="S2273" s="236"/>
      <c r="T2273" s="236"/>
      <c r="U2273" s="236"/>
      <c r="V2273" s="235"/>
      <c r="W2273" s="235"/>
      <c r="X2273" s="235"/>
      <c r="Y2273" s="235"/>
      <c r="Z2273" s="235"/>
    </row>
    <row r="2274" spans="1:26" ht="18" customHeight="1" x14ac:dyDescent="0.2">
      <c r="A2274" s="279">
        <f t="shared" si="2581"/>
        <v>45125</v>
      </c>
      <c r="B2274" s="280" t="s">
        <v>192</v>
      </c>
      <c r="C2274" s="197"/>
      <c r="D2274" s="197"/>
      <c r="E2274" s="197"/>
      <c r="F2274" s="197"/>
      <c r="G2274" s="198"/>
      <c r="H2274" s="199"/>
      <c r="I2274" s="199"/>
      <c r="J2274" s="200"/>
      <c r="K2274" s="201"/>
      <c r="L2274" s="276"/>
      <c r="M2274" s="276"/>
      <c r="N2274" s="235"/>
      <c r="O2274" s="235"/>
      <c r="P2274" s="235"/>
      <c r="Q2274" s="235"/>
      <c r="R2274" s="235"/>
      <c r="S2274" s="236"/>
      <c r="T2274" s="236"/>
      <c r="U2274" s="236"/>
      <c r="V2274" s="235"/>
      <c r="W2274" s="235"/>
      <c r="X2274" s="235"/>
      <c r="Y2274" s="235"/>
      <c r="Z2274" s="235"/>
    </row>
    <row r="2275" spans="1:26" ht="18" customHeight="1" x14ac:dyDescent="0.2">
      <c r="A2275" s="279">
        <f t="shared" si="2581"/>
        <v>45126</v>
      </c>
      <c r="B2275" s="280" t="s">
        <v>193</v>
      </c>
      <c r="C2275" s="197"/>
      <c r="D2275" s="197"/>
      <c r="E2275" s="197"/>
      <c r="F2275" s="197"/>
      <c r="G2275" s="198"/>
      <c r="H2275" s="199"/>
      <c r="I2275" s="199"/>
      <c r="J2275" s="200"/>
      <c r="K2275" s="201"/>
      <c r="L2275" s="276"/>
      <c r="M2275" s="276"/>
      <c r="N2275" s="235"/>
      <c r="O2275" s="235"/>
      <c r="P2275" s="235"/>
      <c r="Q2275" s="235"/>
      <c r="R2275" s="235"/>
      <c r="S2275" s="236"/>
      <c r="T2275" s="236"/>
      <c r="U2275" s="236"/>
      <c r="V2275" s="235"/>
      <c r="W2275" s="235"/>
      <c r="X2275" s="235"/>
      <c r="Y2275" s="235"/>
      <c r="Z2275" s="235"/>
    </row>
    <row r="2276" spans="1:26" ht="18" customHeight="1" x14ac:dyDescent="0.2">
      <c r="A2276" s="279">
        <f t="shared" si="2581"/>
        <v>45127</v>
      </c>
      <c r="B2276" s="280" t="s">
        <v>194</v>
      </c>
      <c r="C2276" s="197"/>
      <c r="D2276" s="197"/>
      <c r="E2276" s="197"/>
      <c r="F2276" s="197"/>
      <c r="G2276" s="198"/>
      <c r="H2276" s="199"/>
      <c r="I2276" s="199"/>
      <c r="J2276" s="200"/>
      <c r="K2276" s="201"/>
      <c r="L2276" s="276"/>
      <c r="M2276" s="276"/>
      <c r="N2276" s="235"/>
      <c r="O2276" s="235"/>
      <c r="P2276" s="235"/>
      <c r="Q2276" s="235"/>
      <c r="R2276" s="235"/>
      <c r="S2276" s="236"/>
      <c r="T2276" s="236"/>
      <c r="U2276" s="236"/>
      <c r="V2276" s="235"/>
      <c r="W2276" s="235"/>
      <c r="X2276" s="235"/>
      <c r="Y2276" s="235"/>
      <c r="Z2276" s="235"/>
    </row>
    <row r="2277" spans="1:26" ht="18" customHeight="1" x14ac:dyDescent="0.2">
      <c r="A2277" s="279">
        <f t="shared" si="2581"/>
        <v>45128</v>
      </c>
      <c r="B2277" s="278" t="s">
        <v>189</v>
      </c>
      <c r="C2277" s="197"/>
      <c r="D2277" s="197"/>
      <c r="E2277" s="197"/>
      <c r="F2277" s="197"/>
      <c r="G2277" s="198"/>
      <c r="H2277" s="199"/>
      <c r="I2277" s="199"/>
      <c r="J2277" s="200"/>
      <c r="K2277" s="201"/>
      <c r="L2277" s="276"/>
      <c r="M2277" s="276"/>
      <c r="N2277" s="235"/>
      <c r="O2277" s="235"/>
      <c r="P2277" s="235"/>
      <c r="Q2277" s="235"/>
      <c r="R2277" s="235"/>
      <c r="S2277" s="236"/>
      <c r="T2277" s="236"/>
      <c r="U2277" s="236"/>
      <c r="V2277" s="235"/>
      <c r="W2277" s="235"/>
      <c r="X2277" s="235"/>
      <c r="Y2277" s="235"/>
      <c r="Z2277" s="235"/>
    </row>
    <row r="2278" spans="1:26" ht="18" customHeight="1" x14ac:dyDescent="0.2">
      <c r="A2278" s="279">
        <f t="shared" si="2581"/>
        <v>45129</v>
      </c>
      <c r="B2278" s="279" t="s">
        <v>195</v>
      </c>
      <c r="C2278" s="197"/>
      <c r="D2278" s="197"/>
      <c r="E2278" s="197"/>
      <c r="F2278" s="197"/>
      <c r="G2278" s="198"/>
      <c r="H2278" s="199"/>
      <c r="I2278" s="199"/>
      <c r="J2278" s="200"/>
      <c r="K2278" s="201"/>
      <c r="L2278" s="276"/>
      <c r="M2278" s="276"/>
      <c r="N2278" s="235"/>
      <c r="O2278" s="235"/>
      <c r="P2278" s="235"/>
      <c r="Q2278" s="235"/>
      <c r="R2278" s="235"/>
      <c r="S2278" s="236"/>
      <c r="T2278" s="236"/>
      <c r="U2278" s="236"/>
      <c r="V2278" s="235"/>
      <c r="W2278" s="235"/>
      <c r="X2278" s="235"/>
      <c r="Y2278" s="235"/>
      <c r="Z2278" s="235"/>
    </row>
    <row r="2279" spans="1:26" ht="18" customHeight="1" x14ac:dyDescent="0.2">
      <c r="A2279" s="279">
        <f t="shared" si="2581"/>
        <v>45130</v>
      </c>
      <c r="B2279" s="278" t="s">
        <v>190</v>
      </c>
      <c r="C2279" s="197"/>
      <c r="D2279" s="197"/>
      <c r="E2279" s="197"/>
      <c r="F2279" s="197"/>
      <c r="G2279" s="198"/>
      <c r="H2279" s="199"/>
      <c r="I2279" s="199"/>
      <c r="J2279" s="200"/>
      <c r="K2279" s="201"/>
      <c r="L2279" s="276"/>
      <c r="M2279" s="276"/>
      <c r="N2279" s="235"/>
      <c r="O2279" s="235"/>
      <c r="P2279" s="235"/>
      <c r="Q2279" s="235"/>
      <c r="R2279" s="235"/>
      <c r="S2279" s="236"/>
      <c r="T2279" s="236"/>
      <c r="U2279" s="236"/>
      <c r="V2279" s="235"/>
      <c r="W2279" s="235"/>
      <c r="X2279" s="235"/>
      <c r="Y2279" s="235"/>
      <c r="Z2279" s="235"/>
    </row>
    <row r="2280" spans="1:26" ht="18" customHeight="1" x14ac:dyDescent="0.2">
      <c r="A2280" s="279">
        <f t="shared" ref="A2280:A2343" si="2587">A2279+1</f>
        <v>45131</v>
      </c>
      <c r="B2280" s="280" t="s">
        <v>191</v>
      </c>
      <c r="C2280" s="197"/>
      <c r="D2280" s="197"/>
      <c r="E2280" s="197"/>
      <c r="F2280" s="197"/>
      <c r="G2280" s="198"/>
      <c r="H2280" s="199"/>
      <c r="I2280" s="199"/>
      <c r="J2280" s="200"/>
      <c r="K2280" s="201"/>
      <c r="L2280" s="276"/>
      <c r="M2280" s="276"/>
      <c r="N2280" s="235"/>
      <c r="O2280" s="235"/>
      <c r="P2280" s="235"/>
      <c r="Q2280" s="235"/>
      <c r="R2280" s="235"/>
      <c r="S2280" s="236"/>
      <c r="T2280" s="236"/>
      <c r="U2280" s="236"/>
      <c r="V2280" s="235"/>
      <c r="W2280" s="235"/>
      <c r="X2280" s="235"/>
      <c r="Y2280" s="235"/>
      <c r="Z2280" s="235"/>
    </row>
    <row r="2281" spans="1:26" ht="18" customHeight="1" x14ac:dyDescent="0.2">
      <c r="A2281" s="279">
        <f t="shared" si="2587"/>
        <v>45132</v>
      </c>
      <c r="B2281" s="280" t="s">
        <v>192</v>
      </c>
      <c r="C2281" s="197"/>
      <c r="D2281" s="197"/>
      <c r="E2281" s="197"/>
      <c r="F2281" s="197"/>
      <c r="G2281" s="198"/>
      <c r="H2281" s="199"/>
      <c r="I2281" s="199"/>
      <c r="J2281" s="200"/>
      <c r="K2281" s="201"/>
      <c r="L2281" s="276"/>
      <c r="M2281" s="276"/>
      <c r="N2281" s="235"/>
      <c r="O2281" s="235"/>
      <c r="P2281" s="235"/>
      <c r="Q2281" s="235"/>
      <c r="R2281" s="235"/>
      <c r="S2281" s="236"/>
      <c r="T2281" s="236"/>
      <c r="U2281" s="236"/>
      <c r="V2281" s="235"/>
      <c r="W2281" s="235"/>
      <c r="X2281" s="235"/>
      <c r="Y2281" s="235"/>
      <c r="Z2281" s="235"/>
    </row>
    <row r="2282" spans="1:26" ht="18" customHeight="1" x14ac:dyDescent="0.2">
      <c r="A2282" s="279">
        <f t="shared" si="2587"/>
        <v>45133</v>
      </c>
      <c r="B2282" s="280" t="s">
        <v>193</v>
      </c>
      <c r="C2282" s="197"/>
      <c r="D2282" s="197"/>
      <c r="E2282" s="197"/>
      <c r="F2282" s="197"/>
      <c r="G2282" s="198"/>
      <c r="H2282" s="199"/>
      <c r="I2282" s="199"/>
      <c r="J2282" s="200"/>
      <c r="K2282" s="201"/>
      <c r="L2282" s="276"/>
      <c r="M2282" s="276"/>
      <c r="N2282" s="235"/>
      <c r="O2282" s="235"/>
      <c r="P2282" s="235"/>
      <c r="Q2282" s="235"/>
      <c r="R2282" s="235"/>
      <c r="S2282" s="236"/>
      <c r="T2282" s="236"/>
      <c r="U2282" s="236"/>
      <c r="V2282" s="235"/>
      <c r="W2282" s="235"/>
      <c r="X2282" s="235"/>
      <c r="Y2282" s="235"/>
      <c r="Z2282" s="235"/>
    </row>
    <row r="2283" spans="1:26" ht="18" customHeight="1" x14ac:dyDescent="0.2">
      <c r="A2283" s="279">
        <f t="shared" si="2587"/>
        <v>45134</v>
      </c>
      <c r="B2283" s="280" t="s">
        <v>194</v>
      </c>
      <c r="C2283" s="197"/>
      <c r="D2283" s="197"/>
      <c r="E2283" s="197"/>
      <c r="F2283" s="197"/>
      <c r="G2283" s="198"/>
      <c r="H2283" s="199"/>
      <c r="I2283" s="199"/>
      <c r="J2283" s="200"/>
      <c r="K2283" s="201"/>
      <c r="L2283" s="276"/>
      <c r="M2283" s="276"/>
      <c r="N2283" s="235"/>
      <c r="O2283" s="235"/>
      <c r="P2283" s="235"/>
      <c r="Q2283" s="235"/>
      <c r="R2283" s="235"/>
      <c r="S2283" s="236"/>
      <c r="T2283" s="236"/>
      <c r="U2283" s="236"/>
      <c r="V2283" s="235"/>
      <c r="W2283" s="235"/>
      <c r="X2283" s="235"/>
      <c r="Y2283" s="235"/>
      <c r="Z2283" s="235"/>
    </row>
    <row r="2284" spans="1:26" ht="18" customHeight="1" x14ac:dyDescent="0.2">
      <c r="A2284" s="279">
        <f t="shared" si="2587"/>
        <v>45135</v>
      </c>
      <c r="B2284" s="278" t="s">
        <v>189</v>
      </c>
      <c r="C2284" s="197"/>
      <c r="D2284" s="197"/>
      <c r="E2284" s="197"/>
      <c r="F2284" s="197"/>
      <c r="G2284" s="198"/>
      <c r="H2284" s="199"/>
      <c r="I2284" s="199"/>
      <c r="J2284" s="200"/>
      <c r="K2284" s="201"/>
      <c r="L2284" s="276"/>
      <c r="M2284" s="276"/>
      <c r="N2284" s="235"/>
      <c r="O2284" s="235"/>
      <c r="P2284" s="235"/>
      <c r="Q2284" s="235"/>
      <c r="R2284" s="235"/>
      <c r="S2284" s="236"/>
      <c r="T2284" s="236"/>
      <c r="U2284" s="236"/>
      <c r="V2284" s="235"/>
      <c r="W2284" s="235"/>
      <c r="X2284" s="235"/>
      <c r="Y2284" s="235"/>
      <c r="Z2284" s="235"/>
    </row>
    <row r="2285" spans="1:26" ht="18" customHeight="1" x14ac:dyDescent="0.2">
      <c r="A2285" s="279">
        <f t="shared" si="2587"/>
        <v>45136</v>
      </c>
      <c r="B2285" s="279" t="s">
        <v>195</v>
      </c>
      <c r="C2285" s="197"/>
      <c r="D2285" s="197"/>
      <c r="E2285" s="197"/>
      <c r="F2285" s="197"/>
      <c r="G2285" s="198"/>
      <c r="H2285" s="199"/>
      <c r="I2285" s="199"/>
      <c r="J2285" s="200"/>
      <c r="K2285" s="201"/>
      <c r="L2285" s="276"/>
      <c r="M2285" s="276"/>
      <c r="N2285" s="235"/>
      <c r="O2285" s="235"/>
      <c r="P2285" s="235"/>
      <c r="Q2285" s="235"/>
      <c r="R2285" s="235"/>
      <c r="S2285" s="236"/>
      <c r="T2285" s="236"/>
      <c r="U2285" s="236"/>
      <c r="V2285" s="235"/>
      <c r="W2285" s="235"/>
      <c r="X2285" s="235"/>
      <c r="Y2285" s="235"/>
      <c r="Z2285" s="235"/>
    </row>
    <row r="2286" spans="1:26" ht="18" customHeight="1" x14ac:dyDescent="0.2">
      <c r="A2286" s="279">
        <f t="shared" si="2587"/>
        <v>45137</v>
      </c>
      <c r="B2286" s="278" t="s">
        <v>190</v>
      </c>
      <c r="C2286" s="197"/>
      <c r="D2286" s="197"/>
      <c r="E2286" s="197"/>
      <c r="F2286" s="197"/>
      <c r="G2286" s="198"/>
      <c r="H2286" s="199"/>
      <c r="I2286" s="199"/>
      <c r="J2286" s="200"/>
      <c r="K2286" s="201"/>
      <c r="L2286" s="276"/>
      <c r="M2286" s="276"/>
      <c r="N2286" s="235"/>
      <c r="O2286" s="235"/>
      <c r="P2286" s="235"/>
      <c r="Q2286" s="235"/>
      <c r="R2286" s="235"/>
      <c r="S2286" s="236"/>
      <c r="T2286" s="236"/>
      <c r="U2286" s="236"/>
      <c r="V2286" s="235"/>
      <c r="W2286" s="235"/>
      <c r="X2286" s="235"/>
      <c r="Y2286" s="235"/>
      <c r="Z2286" s="235"/>
    </row>
    <row r="2287" spans="1:26" ht="18" customHeight="1" x14ac:dyDescent="0.2">
      <c r="A2287" s="279">
        <f t="shared" si="2587"/>
        <v>45138</v>
      </c>
      <c r="B2287" s="280" t="s">
        <v>191</v>
      </c>
      <c r="C2287" s="197"/>
      <c r="D2287" s="197"/>
      <c r="E2287" s="197"/>
      <c r="F2287" s="197"/>
      <c r="G2287" s="198"/>
      <c r="H2287" s="199"/>
      <c r="I2287" s="199"/>
      <c r="J2287" s="200"/>
      <c r="K2287" s="201"/>
      <c r="L2287" s="276"/>
      <c r="M2287" s="276"/>
      <c r="N2287" s="235"/>
      <c r="O2287" s="235"/>
      <c r="P2287" s="235"/>
      <c r="Q2287" s="235"/>
      <c r="R2287" s="235"/>
      <c r="S2287" s="236"/>
      <c r="T2287" s="236"/>
      <c r="U2287" s="236"/>
      <c r="V2287" s="235"/>
      <c r="W2287" s="235"/>
      <c r="X2287" s="235"/>
      <c r="Y2287" s="235"/>
      <c r="Z2287" s="235"/>
    </row>
    <row r="2288" spans="1:26" ht="18" customHeight="1" x14ac:dyDescent="0.2">
      <c r="A2288" s="279">
        <f t="shared" si="2587"/>
        <v>45139</v>
      </c>
      <c r="B2288" s="280" t="s">
        <v>192</v>
      </c>
      <c r="C2288" s="197"/>
      <c r="D2288" s="197"/>
      <c r="E2288" s="197"/>
      <c r="F2288" s="197"/>
      <c r="G2288" s="198"/>
      <c r="H2288" s="199"/>
      <c r="I2288" s="199"/>
      <c r="J2288" s="200"/>
      <c r="K2288" s="201"/>
      <c r="L2288" s="276"/>
      <c r="M2288" s="276"/>
      <c r="N2288" s="235"/>
      <c r="O2288" s="235"/>
      <c r="P2288" s="235"/>
      <c r="Q2288" s="235"/>
      <c r="R2288" s="235"/>
      <c r="S2288" s="236"/>
      <c r="T2288" s="236"/>
      <c r="U2288" s="236"/>
      <c r="V2288" s="235"/>
      <c r="W2288" s="235"/>
      <c r="X2288" s="235"/>
      <c r="Y2288" s="235"/>
      <c r="Z2288" s="235"/>
    </row>
    <row r="2289" spans="1:26" ht="18" customHeight="1" x14ac:dyDescent="0.2">
      <c r="A2289" s="279">
        <f t="shared" si="2587"/>
        <v>45140</v>
      </c>
      <c r="B2289" s="280" t="s">
        <v>193</v>
      </c>
      <c r="C2289" s="197"/>
      <c r="D2289" s="197"/>
      <c r="E2289" s="197"/>
      <c r="F2289" s="197"/>
      <c r="G2289" s="198"/>
      <c r="H2289" s="199"/>
      <c r="I2289" s="199"/>
      <c r="J2289" s="200"/>
      <c r="K2289" s="201"/>
      <c r="L2289" s="276"/>
      <c r="M2289" s="276"/>
      <c r="N2289" s="235"/>
      <c r="O2289" s="235"/>
      <c r="P2289" s="235"/>
      <c r="Q2289" s="235"/>
      <c r="R2289" s="235"/>
      <c r="S2289" s="236"/>
      <c r="T2289" s="236"/>
      <c r="U2289" s="236"/>
      <c r="V2289" s="235"/>
      <c r="W2289" s="235"/>
      <c r="X2289" s="235"/>
      <c r="Y2289" s="235"/>
      <c r="Z2289" s="235"/>
    </row>
    <row r="2290" spans="1:26" ht="18" customHeight="1" x14ac:dyDescent="0.2">
      <c r="A2290" s="279">
        <f t="shared" si="2587"/>
        <v>45141</v>
      </c>
      <c r="B2290" s="280" t="s">
        <v>194</v>
      </c>
      <c r="C2290" s="197"/>
      <c r="D2290" s="197"/>
      <c r="E2290" s="197"/>
      <c r="F2290" s="197"/>
      <c r="G2290" s="198"/>
      <c r="H2290" s="199"/>
      <c r="I2290" s="199"/>
      <c r="J2290" s="200"/>
      <c r="K2290" s="201"/>
      <c r="L2290" s="276"/>
      <c r="M2290" s="276"/>
      <c r="N2290" s="235"/>
      <c r="O2290" s="235"/>
      <c r="P2290" s="235"/>
      <c r="Q2290" s="235"/>
      <c r="R2290" s="235"/>
      <c r="S2290" s="236"/>
      <c r="T2290" s="236"/>
      <c r="U2290" s="236"/>
      <c r="V2290" s="235"/>
      <c r="W2290" s="235"/>
      <c r="X2290" s="235"/>
      <c r="Y2290" s="235"/>
      <c r="Z2290" s="235"/>
    </row>
    <row r="2291" spans="1:26" ht="18" customHeight="1" x14ac:dyDescent="0.2">
      <c r="A2291" s="279">
        <f t="shared" si="2587"/>
        <v>45142</v>
      </c>
      <c r="B2291" s="278" t="s">
        <v>189</v>
      </c>
      <c r="C2291" s="197"/>
      <c r="D2291" s="197"/>
      <c r="E2291" s="197"/>
      <c r="F2291" s="197"/>
      <c r="G2291" s="198"/>
      <c r="H2291" s="199"/>
      <c r="I2291" s="199"/>
      <c r="J2291" s="200"/>
      <c r="K2291" s="201"/>
      <c r="L2291" s="276"/>
      <c r="M2291" s="276"/>
      <c r="N2291" s="235"/>
      <c r="O2291" s="235"/>
      <c r="P2291" s="235"/>
      <c r="Q2291" s="235"/>
      <c r="R2291" s="235"/>
      <c r="S2291" s="236"/>
      <c r="T2291" s="236"/>
      <c r="U2291" s="236"/>
      <c r="V2291" s="235"/>
      <c r="W2291" s="235"/>
      <c r="X2291" s="235"/>
      <c r="Y2291" s="235"/>
      <c r="Z2291" s="235"/>
    </row>
    <row r="2292" spans="1:26" ht="18" customHeight="1" x14ac:dyDescent="0.2">
      <c r="A2292" s="279">
        <f t="shared" si="2587"/>
        <v>45143</v>
      </c>
      <c r="B2292" s="279" t="s">
        <v>195</v>
      </c>
      <c r="C2292" s="197"/>
      <c r="D2292" s="197"/>
      <c r="E2292" s="197"/>
      <c r="F2292" s="197"/>
      <c r="G2292" s="198"/>
      <c r="H2292" s="199"/>
      <c r="I2292" s="199"/>
      <c r="J2292" s="200"/>
      <c r="K2292" s="201"/>
      <c r="L2292" s="276"/>
      <c r="M2292" s="276"/>
      <c r="N2292" s="235"/>
      <c r="O2292" s="235"/>
      <c r="P2292" s="235"/>
      <c r="Q2292" s="235"/>
      <c r="R2292" s="235"/>
      <c r="S2292" s="236"/>
      <c r="T2292" s="236"/>
      <c r="U2292" s="236"/>
      <c r="V2292" s="235"/>
      <c r="W2292" s="235"/>
      <c r="X2292" s="235"/>
      <c r="Y2292" s="235"/>
      <c r="Z2292" s="235"/>
    </row>
    <row r="2293" spans="1:26" ht="18" customHeight="1" x14ac:dyDescent="0.2">
      <c r="A2293" s="279">
        <f t="shared" si="2587"/>
        <v>45144</v>
      </c>
      <c r="B2293" s="278" t="s">
        <v>190</v>
      </c>
      <c r="C2293" s="197"/>
      <c r="D2293" s="197"/>
      <c r="E2293" s="197"/>
      <c r="F2293" s="197"/>
      <c r="G2293" s="198"/>
      <c r="H2293" s="199"/>
      <c r="I2293" s="199"/>
      <c r="J2293" s="200"/>
      <c r="K2293" s="201"/>
      <c r="L2293" s="276"/>
      <c r="M2293" s="276"/>
      <c r="N2293" s="235"/>
      <c r="O2293" s="235"/>
      <c r="P2293" s="235"/>
      <c r="Q2293" s="235"/>
      <c r="R2293" s="235"/>
      <c r="S2293" s="236"/>
      <c r="T2293" s="236"/>
      <c r="U2293" s="236"/>
      <c r="V2293" s="235"/>
      <c r="W2293" s="235"/>
      <c r="X2293" s="235"/>
      <c r="Y2293" s="235"/>
      <c r="Z2293" s="235"/>
    </row>
    <row r="2294" spans="1:26" ht="18" customHeight="1" x14ac:dyDescent="0.2">
      <c r="A2294" s="279">
        <f t="shared" si="2587"/>
        <v>45145</v>
      </c>
      <c r="B2294" s="280" t="s">
        <v>191</v>
      </c>
      <c r="C2294" s="197"/>
      <c r="D2294" s="197"/>
      <c r="E2294" s="197"/>
      <c r="F2294" s="197"/>
      <c r="G2294" s="198"/>
      <c r="H2294" s="199"/>
      <c r="I2294" s="199"/>
      <c r="J2294" s="200"/>
      <c r="K2294" s="201"/>
      <c r="L2294" s="276"/>
      <c r="M2294" s="276"/>
      <c r="N2294" s="235"/>
      <c r="O2294" s="235"/>
      <c r="P2294" s="235"/>
      <c r="Q2294" s="235"/>
      <c r="R2294" s="235"/>
      <c r="S2294" s="236"/>
      <c r="T2294" s="236"/>
      <c r="U2294" s="236"/>
      <c r="V2294" s="235"/>
      <c r="W2294" s="235"/>
      <c r="X2294" s="235"/>
      <c r="Y2294" s="235"/>
      <c r="Z2294" s="235"/>
    </row>
    <row r="2295" spans="1:26" ht="18" customHeight="1" x14ac:dyDescent="0.2">
      <c r="A2295" s="279">
        <f t="shared" si="2587"/>
        <v>45146</v>
      </c>
      <c r="B2295" s="280" t="s">
        <v>192</v>
      </c>
      <c r="C2295" s="197"/>
      <c r="D2295" s="197"/>
      <c r="E2295" s="197"/>
      <c r="F2295" s="197"/>
      <c r="G2295" s="198"/>
      <c r="H2295" s="199"/>
      <c r="I2295" s="199"/>
      <c r="J2295" s="200"/>
      <c r="K2295" s="201"/>
      <c r="L2295" s="276"/>
      <c r="M2295" s="276"/>
      <c r="N2295" s="235"/>
      <c r="O2295" s="235"/>
      <c r="P2295" s="235"/>
      <c r="Q2295" s="235"/>
      <c r="R2295" s="235"/>
      <c r="S2295" s="236"/>
      <c r="T2295" s="236"/>
      <c r="U2295" s="236"/>
      <c r="V2295" s="235"/>
      <c r="W2295" s="235"/>
      <c r="X2295" s="235"/>
      <c r="Y2295" s="235"/>
      <c r="Z2295" s="235"/>
    </row>
    <row r="2296" spans="1:26" ht="18" customHeight="1" x14ac:dyDescent="0.2">
      <c r="A2296" s="279">
        <f t="shared" si="2587"/>
        <v>45147</v>
      </c>
      <c r="B2296" s="280" t="s">
        <v>193</v>
      </c>
      <c r="C2296" s="197"/>
      <c r="D2296" s="197"/>
      <c r="E2296" s="197"/>
      <c r="F2296" s="197"/>
      <c r="G2296" s="198"/>
      <c r="H2296" s="199"/>
      <c r="I2296" s="199"/>
      <c r="J2296" s="200"/>
      <c r="K2296" s="201"/>
      <c r="L2296" s="276"/>
      <c r="M2296" s="276"/>
      <c r="N2296" s="235"/>
      <c r="O2296" s="235"/>
      <c r="P2296" s="235"/>
      <c r="Q2296" s="235"/>
      <c r="R2296" s="235"/>
      <c r="S2296" s="236"/>
      <c r="T2296" s="236"/>
      <c r="U2296" s="236"/>
      <c r="V2296" s="235"/>
      <c r="W2296" s="235"/>
      <c r="X2296" s="235"/>
      <c r="Y2296" s="235"/>
      <c r="Z2296" s="235"/>
    </row>
    <row r="2297" spans="1:26" ht="18" customHeight="1" x14ac:dyDescent="0.2">
      <c r="A2297" s="279">
        <f t="shared" si="2587"/>
        <v>45148</v>
      </c>
      <c r="B2297" s="280" t="s">
        <v>194</v>
      </c>
      <c r="C2297" s="197"/>
      <c r="D2297" s="197"/>
      <c r="E2297" s="197"/>
      <c r="F2297" s="197"/>
      <c r="G2297" s="198"/>
      <c r="H2297" s="199"/>
      <c r="I2297" s="199"/>
      <c r="J2297" s="200"/>
      <c r="K2297" s="201"/>
      <c r="L2297" s="276"/>
      <c r="M2297" s="276"/>
      <c r="N2297" s="235"/>
      <c r="O2297" s="235"/>
      <c r="P2297" s="235"/>
      <c r="Q2297" s="235"/>
      <c r="R2297" s="235"/>
      <c r="S2297" s="236"/>
      <c r="T2297" s="236"/>
      <c r="U2297" s="236"/>
      <c r="V2297" s="235"/>
      <c r="W2297" s="235"/>
      <c r="X2297" s="235"/>
      <c r="Y2297" s="235"/>
      <c r="Z2297" s="235"/>
    </row>
    <row r="2298" spans="1:26" ht="18" customHeight="1" x14ac:dyDescent="0.2">
      <c r="A2298" s="279">
        <f t="shared" si="2587"/>
        <v>45149</v>
      </c>
      <c r="B2298" s="278" t="s">
        <v>189</v>
      </c>
      <c r="C2298" s="197"/>
      <c r="D2298" s="197"/>
      <c r="E2298" s="197"/>
      <c r="F2298" s="197"/>
      <c r="G2298" s="198"/>
      <c r="H2298" s="199"/>
      <c r="I2298" s="199"/>
      <c r="J2298" s="200"/>
      <c r="K2298" s="201"/>
      <c r="L2298" s="276"/>
      <c r="M2298" s="276"/>
      <c r="N2298" s="235"/>
      <c r="O2298" s="235"/>
      <c r="P2298" s="235"/>
      <c r="Q2298" s="235"/>
      <c r="R2298" s="235"/>
      <c r="S2298" s="236"/>
      <c r="T2298" s="236"/>
      <c r="U2298" s="236"/>
      <c r="V2298" s="235"/>
      <c r="W2298" s="235"/>
      <c r="X2298" s="235"/>
      <c r="Y2298" s="235"/>
      <c r="Z2298" s="235"/>
    </row>
    <row r="2299" spans="1:26" ht="18" customHeight="1" x14ac:dyDescent="0.2">
      <c r="A2299" s="279">
        <f t="shared" si="2587"/>
        <v>45150</v>
      </c>
      <c r="B2299" s="279" t="s">
        <v>195</v>
      </c>
      <c r="C2299" s="197"/>
      <c r="D2299" s="197"/>
      <c r="E2299" s="197"/>
      <c r="F2299" s="197"/>
      <c r="G2299" s="198"/>
      <c r="H2299" s="199"/>
      <c r="I2299" s="199"/>
      <c r="J2299" s="200"/>
      <c r="K2299" s="201"/>
      <c r="L2299" s="276"/>
      <c r="M2299" s="276"/>
      <c r="N2299" s="235"/>
      <c r="O2299" s="235"/>
      <c r="P2299" s="235"/>
      <c r="Q2299" s="235"/>
      <c r="R2299" s="235"/>
      <c r="S2299" s="236"/>
      <c r="T2299" s="236"/>
      <c r="U2299" s="236"/>
      <c r="V2299" s="235"/>
      <c r="W2299" s="235"/>
      <c r="X2299" s="235"/>
      <c r="Y2299" s="235"/>
      <c r="Z2299" s="235"/>
    </row>
    <row r="2300" spans="1:26" ht="18" customHeight="1" x14ac:dyDescent="0.2">
      <c r="A2300" s="279">
        <f t="shared" si="2587"/>
        <v>45151</v>
      </c>
      <c r="B2300" s="278" t="s">
        <v>190</v>
      </c>
      <c r="C2300" s="197"/>
      <c r="D2300" s="197"/>
      <c r="E2300" s="197"/>
      <c r="F2300" s="197"/>
      <c r="G2300" s="198"/>
      <c r="H2300" s="199"/>
      <c r="I2300" s="199"/>
      <c r="J2300" s="200"/>
      <c r="K2300" s="201"/>
      <c r="L2300" s="276"/>
      <c r="M2300" s="276"/>
      <c r="N2300" s="235"/>
      <c r="O2300" s="235"/>
      <c r="P2300" s="235"/>
      <c r="Q2300" s="235"/>
      <c r="R2300" s="235"/>
      <c r="S2300" s="236"/>
      <c r="T2300" s="236"/>
      <c r="U2300" s="236"/>
      <c r="V2300" s="235"/>
      <c r="W2300" s="235"/>
      <c r="X2300" s="235"/>
      <c r="Y2300" s="235"/>
      <c r="Z2300" s="235"/>
    </row>
    <row r="2301" spans="1:26" ht="18" customHeight="1" x14ac:dyDescent="0.2">
      <c r="A2301" s="279">
        <f t="shared" si="2587"/>
        <v>45152</v>
      </c>
      <c r="B2301" s="280" t="s">
        <v>191</v>
      </c>
      <c r="C2301" s="197"/>
      <c r="D2301" s="197"/>
      <c r="E2301" s="197"/>
      <c r="F2301" s="197"/>
      <c r="G2301" s="198"/>
      <c r="H2301" s="199"/>
      <c r="I2301" s="199"/>
      <c r="J2301" s="200"/>
      <c r="K2301" s="201"/>
      <c r="L2301" s="276"/>
      <c r="M2301" s="276"/>
      <c r="N2301" s="235"/>
      <c r="O2301" s="235"/>
      <c r="P2301" s="235"/>
      <c r="Q2301" s="235"/>
      <c r="R2301" s="235"/>
      <c r="S2301" s="236"/>
      <c r="T2301" s="236"/>
      <c r="U2301" s="236"/>
      <c r="V2301" s="235"/>
      <c r="W2301" s="235"/>
      <c r="X2301" s="235"/>
      <c r="Y2301" s="235"/>
      <c r="Z2301" s="235"/>
    </row>
    <row r="2302" spans="1:26" ht="18" customHeight="1" x14ac:dyDescent="0.2">
      <c r="A2302" s="279">
        <f t="shared" si="2587"/>
        <v>45153</v>
      </c>
      <c r="B2302" s="280" t="s">
        <v>192</v>
      </c>
      <c r="C2302" s="197"/>
      <c r="D2302" s="197"/>
      <c r="E2302" s="197"/>
      <c r="F2302" s="197"/>
      <c r="G2302" s="198"/>
      <c r="H2302" s="199"/>
      <c r="I2302" s="199"/>
      <c r="J2302" s="200"/>
      <c r="K2302" s="201"/>
      <c r="L2302" s="276"/>
      <c r="M2302" s="276"/>
      <c r="N2302" s="235"/>
      <c r="O2302" s="235"/>
      <c r="P2302" s="235"/>
      <c r="Q2302" s="235"/>
      <c r="R2302" s="235"/>
      <c r="S2302" s="236"/>
      <c r="T2302" s="236"/>
      <c r="U2302" s="236"/>
      <c r="V2302" s="235"/>
      <c r="W2302" s="235"/>
      <c r="X2302" s="235"/>
      <c r="Y2302" s="235"/>
      <c r="Z2302" s="235"/>
    </row>
    <row r="2303" spans="1:26" ht="18" customHeight="1" x14ac:dyDescent="0.2">
      <c r="A2303" s="279">
        <f t="shared" si="2587"/>
        <v>45154</v>
      </c>
      <c r="B2303" s="280" t="s">
        <v>193</v>
      </c>
      <c r="C2303" s="197"/>
      <c r="D2303" s="197"/>
      <c r="E2303" s="197"/>
      <c r="F2303" s="197"/>
      <c r="G2303" s="198"/>
      <c r="H2303" s="199"/>
      <c r="I2303" s="199"/>
      <c r="J2303" s="200"/>
      <c r="K2303" s="201"/>
      <c r="L2303" s="276"/>
      <c r="M2303" s="276"/>
      <c r="N2303" s="235"/>
      <c r="O2303" s="235"/>
      <c r="P2303" s="235"/>
      <c r="Q2303" s="235"/>
      <c r="R2303" s="235"/>
      <c r="S2303" s="236"/>
      <c r="T2303" s="236"/>
      <c r="U2303" s="236"/>
      <c r="V2303" s="235"/>
      <c r="W2303" s="235"/>
      <c r="X2303" s="235"/>
      <c r="Y2303" s="235"/>
      <c r="Z2303" s="235"/>
    </row>
    <row r="2304" spans="1:26" ht="18" customHeight="1" x14ac:dyDescent="0.2">
      <c r="A2304" s="279">
        <f t="shared" si="2587"/>
        <v>45155</v>
      </c>
      <c r="B2304" s="280" t="s">
        <v>194</v>
      </c>
      <c r="C2304" s="197"/>
      <c r="D2304" s="197"/>
      <c r="E2304" s="197"/>
      <c r="F2304" s="197"/>
      <c r="G2304" s="198"/>
      <c r="H2304" s="199"/>
      <c r="I2304" s="199"/>
      <c r="J2304" s="200"/>
      <c r="K2304" s="201"/>
      <c r="L2304" s="276"/>
      <c r="M2304" s="276"/>
      <c r="N2304" s="235"/>
      <c r="O2304" s="235"/>
      <c r="P2304" s="235"/>
      <c r="Q2304" s="235"/>
      <c r="R2304" s="235"/>
      <c r="S2304" s="236"/>
      <c r="T2304" s="236"/>
      <c r="U2304" s="236"/>
      <c r="V2304" s="235"/>
      <c r="W2304" s="235"/>
      <c r="X2304" s="235"/>
      <c r="Y2304" s="235"/>
      <c r="Z2304" s="235"/>
    </row>
    <row r="2305" spans="1:26" ht="18" customHeight="1" x14ac:dyDescent="0.2">
      <c r="A2305" s="279">
        <f t="shared" si="2587"/>
        <v>45156</v>
      </c>
      <c r="B2305" s="278" t="s">
        <v>189</v>
      </c>
      <c r="C2305" s="197"/>
      <c r="D2305" s="197"/>
      <c r="E2305" s="197"/>
      <c r="F2305" s="197"/>
      <c r="G2305" s="198"/>
      <c r="H2305" s="199"/>
      <c r="I2305" s="199"/>
      <c r="J2305" s="200"/>
      <c r="K2305" s="201"/>
      <c r="L2305" s="276"/>
      <c r="M2305" s="276"/>
      <c r="N2305" s="235"/>
      <c r="O2305" s="235"/>
      <c r="P2305" s="235"/>
      <c r="Q2305" s="235"/>
      <c r="R2305" s="235"/>
      <c r="S2305" s="236"/>
      <c r="T2305" s="236"/>
      <c r="U2305" s="236"/>
      <c r="V2305" s="235"/>
      <c r="W2305" s="235"/>
      <c r="X2305" s="235"/>
      <c r="Y2305" s="235"/>
      <c r="Z2305" s="235"/>
    </row>
    <row r="2306" spans="1:26" ht="18" customHeight="1" x14ac:dyDescent="0.2">
      <c r="A2306" s="279">
        <f t="shared" si="2587"/>
        <v>45157</v>
      </c>
      <c r="B2306" s="279" t="s">
        <v>195</v>
      </c>
      <c r="C2306" s="197"/>
      <c r="D2306" s="197"/>
      <c r="E2306" s="197"/>
      <c r="F2306" s="197"/>
      <c r="G2306" s="198"/>
      <c r="H2306" s="199"/>
      <c r="I2306" s="199"/>
      <c r="J2306" s="200"/>
      <c r="K2306" s="201"/>
      <c r="L2306" s="276"/>
      <c r="M2306" s="276"/>
      <c r="N2306" s="235"/>
      <c r="O2306" s="235"/>
      <c r="P2306" s="235"/>
      <c r="Q2306" s="235"/>
      <c r="R2306" s="235"/>
      <c r="S2306" s="236"/>
      <c r="T2306" s="236"/>
      <c r="U2306" s="236"/>
      <c r="V2306" s="235"/>
      <c r="W2306" s="235"/>
      <c r="X2306" s="235"/>
      <c r="Y2306" s="235"/>
      <c r="Z2306" s="235"/>
    </row>
    <row r="2307" spans="1:26" ht="18" customHeight="1" x14ac:dyDescent="0.2">
      <c r="A2307" s="279">
        <f t="shared" si="2587"/>
        <v>45158</v>
      </c>
      <c r="B2307" s="278" t="s">
        <v>190</v>
      </c>
      <c r="C2307" s="197"/>
      <c r="D2307" s="197"/>
      <c r="E2307" s="197"/>
      <c r="F2307" s="197"/>
      <c r="G2307" s="198"/>
      <c r="H2307" s="199"/>
      <c r="I2307" s="199"/>
      <c r="J2307" s="200"/>
      <c r="K2307" s="201"/>
      <c r="L2307" s="276"/>
      <c r="M2307" s="276"/>
      <c r="N2307" s="235"/>
      <c r="O2307" s="235"/>
      <c r="P2307" s="235"/>
      <c r="Q2307" s="235"/>
      <c r="R2307" s="235"/>
      <c r="S2307" s="236"/>
      <c r="T2307" s="236"/>
      <c r="U2307" s="236"/>
      <c r="V2307" s="235"/>
      <c r="W2307" s="235"/>
      <c r="X2307" s="235"/>
      <c r="Y2307" s="235"/>
      <c r="Z2307" s="235"/>
    </row>
    <row r="2308" spans="1:26" ht="18" customHeight="1" x14ac:dyDescent="0.2">
      <c r="A2308" s="279">
        <f t="shared" si="2587"/>
        <v>45159</v>
      </c>
      <c r="B2308" s="280" t="s">
        <v>191</v>
      </c>
      <c r="C2308" s="197"/>
      <c r="D2308" s="197"/>
      <c r="E2308" s="197"/>
      <c r="F2308" s="197"/>
      <c r="G2308" s="198"/>
      <c r="H2308" s="199"/>
      <c r="I2308" s="199"/>
      <c r="J2308" s="200"/>
      <c r="K2308" s="201"/>
      <c r="L2308" s="276"/>
      <c r="M2308" s="276"/>
      <c r="N2308" s="235"/>
      <c r="O2308" s="235"/>
      <c r="P2308" s="235"/>
      <c r="Q2308" s="235"/>
      <c r="R2308" s="235"/>
      <c r="S2308" s="236"/>
      <c r="T2308" s="236"/>
      <c r="U2308" s="236"/>
      <c r="V2308" s="235"/>
      <c r="W2308" s="235"/>
      <c r="X2308" s="235"/>
      <c r="Y2308" s="235"/>
      <c r="Z2308" s="235"/>
    </row>
    <row r="2309" spans="1:26" ht="18" customHeight="1" x14ac:dyDescent="0.2">
      <c r="A2309" s="279">
        <f t="shared" si="2587"/>
        <v>45160</v>
      </c>
      <c r="B2309" s="280" t="s">
        <v>192</v>
      </c>
      <c r="C2309" s="197"/>
      <c r="D2309" s="197"/>
      <c r="E2309" s="197"/>
      <c r="F2309" s="197"/>
      <c r="G2309" s="198"/>
      <c r="H2309" s="199"/>
      <c r="I2309" s="199"/>
      <c r="J2309" s="200"/>
      <c r="K2309" s="201"/>
      <c r="L2309" s="276"/>
      <c r="M2309" s="276"/>
      <c r="N2309" s="235"/>
      <c r="O2309" s="235"/>
      <c r="P2309" s="235"/>
      <c r="Q2309" s="235"/>
      <c r="R2309" s="235"/>
      <c r="S2309" s="236"/>
      <c r="T2309" s="236"/>
      <c r="U2309" s="236"/>
      <c r="V2309" s="235"/>
      <c r="W2309" s="235"/>
      <c r="X2309" s="235"/>
      <c r="Y2309" s="235"/>
      <c r="Z2309" s="235"/>
    </row>
    <row r="2310" spans="1:26" ht="18" customHeight="1" x14ac:dyDescent="0.2">
      <c r="A2310" s="279">
        <f t="shared" si="2587"/>
        <v>45161</v>
      </c>
      <c r="B2310" s="280" t="s">
        <v>193</v>
      </c>
      <c r="C2310" s="197"/>
      <c r="D2310" s="197"/>
      <c r="E2310" s="197"/>
      <c r="F2310" s="197"/>
      <c r="G2310" s="198"/>
      <c r="H2310" s="199"/>
      <c r="I2310" s="199"/>
      <c r="J2310" s="200"/>
      <c r="K2310" s="201"/>
      <c r="L2310" s="276"/>
      <c r="M2310" s="276"/>
      <c r="N2310" s="235"/>
      <c r="O2310" s="235"/>
      <c r="P2310" s="235"/>
      <c r="Q2310" s="235"/>
      <c r="R2310" s="235"/>
      <c r="S2310" s="236"/>
      <c r="T2310" s="236"/>
      <c r="U2310" s="236"/>
      <c r="V2310" s="235"/>
      <c r="W2310" s="235"/>
      <c r="X2310" s="235"/>
      <c r="Y2310" s="235"/>
      <c r="Z2310" s="235"/>
    </row>
    <row r="2311" spans="1:26" ht="18" customHeight="1" x14ac:dyDescent="0.2">
      <c r="A2311" s="279">
        <f t="shared" si="2587"/>
        <v>45162</v>
      </c>
      <c r="B2311" s="280" t="s">
        <v>194</v>
      </c>
      <c r="C2311" s="197"/>
      <c r="D2311" s="197"/>
      <c r="E2311" s="197"/>
      <c r="F2311" s="197"/>
      <c r="G2311" s="198"/>
      <c r="H2311" s="199"/>
      <c r="I2311" s="199"/>
      <c r="J2311" s="200"/>
      <c r="K2311" s="201"/>
      <c r="L2311" s="276"/>
      <c r="M2311" s="276"/>
      <c r="N2311" s="235"/>
      <c r="O2311" s="235"/>
      <c r="P2311" s="235"/>
      <c r="Q2311" s="235"/>
      <c r="R2311" s="235"/>
      <c r="S2311" s="236"/>
      <c r="T2311" s="236"/>
      <c r="U2311" s="236"/>
      <c r="V2311" s="235"/>
      <c r="W2311" s="235"/>
      <c r="X2311" s="235"/>
      <c r="Y2311" s="235"/>
      <c r="Z2311" s="235"/>
    </row>
    <row r="2312" spans="1:26" ht="18" customHeight="1" x14ac:dyDescent="0.2">
      <c r="A2312" s="279">
        <f t="shared" si="2587"/>
        <v>45163</v>
      </c>
      <c r="B2312" s="278" t="s">
        <v>189</v>
      </c>
      <c r="C2312" s="197"/>
      <c r="D2312" s="197"/>
      <c r="E2312" s="197"/>
      <c r="F2312" s="197"/>
      <c r="G2312" s="198"/>
      <c r="H2312" s="199"/>
      <c r="I2312" s="199"/>
      <c r="J2312" s="200"/>
      <c r="K2312" s="201"/>
      <c r="L2312" s="276"/>
      <c r="M2312" s="276"/>
      <c r="N2312" s="235"/>
      <c r="O2312" s="235"/>
      <c r="P2312" s="235"/>
      <c r="Q2312" s="235"/>
      <c r="R2312" s="235"/>
      <c r="S2312" s="236"/>
      <c r="T2312" s="236"/>
      <c r="U2312" s="236"/>
      <c r="V2312" s="235"/>
      <c r="W2312" s="235"/>
      <c r="X2312" s="235"/>
      <c r="Y2312" s="235"/>
      <c r="Z2312" s="235"/>
    </row>
    <row r="2313" spans="1:26" ht="18" customHeight="1" x14ac:dyDescent="0.2">
      <c r="A2313" s="279">
        <f t="shared" si="2587"/>
        <v>45164</v>
      </c>
      <c r="B2313" s="279" t="s">
        <v>195</v>
      </c>
      <c r="C2313" s="197"/>
      <c r="D2313" s="197"/>
      <c r="E2313" s="197"/>
      <c r="F2313" s="197"/>
      <c r="G2313" s="198"/>
      <c r="H2313" s="199"/>
      <c r="I2313" s="199"/>
      <c r="J2313" s="200"/>
      <c r="K2313" s="201"/>
      <c r="L2313" s="276"/>
      <c r="M2313" s="276"/>
      <c r="N2313" s="235"/>
      <c r="O2313" s="235"/>
      <c r="P2313" s="235"/>
      <c r="Q2313" s="235"/>
      <c r="R2313" s="235"/>
      <c r="S2313" s="236"/>
      <c r="T2313" s="236"/>
      <c r="U2313" s="236"/>
      <c r="V2313" s="235"/>
      <c r="W2313" s="235"/>
      <c r="X2313" s="235"/>
      <c r="Y2313" s="235"/>
      <c r="Z2313" s="235"/>
    </row>
    <row r="2314" spans="1:26" ht="18" customHeight="1" x14ac:dyDescent="0.2">
      <c r="A2314" s="279">
        <f t="shared" si="2587"/>
        <v>45165</v>
      </c>
      <c r="B2314" s="278" t="s">
        <v>190</v>
      </c>
      <c r="C2314" s="197"/>
      <c r="D2314" s="197"/>
      <c r="E2314" s="197"/>
      <c r="F2314" s="197"/>
      <c r="G2314" s="198"/>
      <c r="H2314" s="199"/>
      <c r="I2314" s="199"/>
      <c r="J2314" s="200"/>
      <c r="K2314" s="201"/>
      <c r="L2314" s="276"/>
      <c r="M2314" s="276"/>
      <c r="N2314" s="235"/>
      <c r="O2314" s="235"/>
      <c r="P2314" s="235"/>
      <c r="Q2314" s="235"/>
      <c r="R2314" s="235"/>
      <c r="S2314" s="236"/>
      <c r="T2314" s="236"/>
      <c r="U2314" s="236"/>
      <c r="V2314" s="235"/>
      <c r="W2314" s="235"/>
      <c r="X2314" s="235"/>
      <c r="Y2314" s="235"/>
      <c r="Z2314" s="235"/>
    </row>
    <row r="2315" spans="1:26" ht="18" customHeight="1" x14ac:dyDescent="0.2">
      <c r="A2315" s="279">
        <f t="shared" si="2587"/>
        <v>45166</v>
      </c>
      <c r="B2315" s="280" t="s">
        <v>191</v>
      </c>
      <c r="C2315" s="197"/>
      <c r="D2315" s="197"/>
      <c r="E2315" s="197"/>
      <c r="F2315" s="197"/>
      <c r="G2315" s="198"/>
      <c r="H2315" s="199"/>
      <c r="I2315" s="199"/>
      <c r="J2315" s="200"/>
      <c r="K2315" s="201"/>
      <c r="L2315" s="276"/>
      <c r="M2315" s="276"/>
      <c r="N2315" s="235"/>
      <c r="O2315" s="235"/>
      <c r="P2315" s="235"/>
      <c r="Q2315" s="235"/>
      <c r="R2315" s="235"/>
      <c r="S2315" s="236"/>
      <c r="T2315" s="236"/>
      <c r="U2315" s="236"/>
      <c r="V2315" s="235"/>
      <c r="W2315" s="235"/>
      <c r="X2315" s="235"/>
      <c r="Y2315" s="235"/>
      <c r="Z2315" s="235"/>
    </row>
    <row r="2316" spans="1:26" ht="18" customHeight="1" x14ac:dyDescent="0.2">
      <c r="A2316" s="279">
        <f t="shared" si="2587"/>
        <v>45167</v>
      </c>
      <c r="B2316" s="280" t="s">
        <v>192</v>
      </c>
      <c r="C2316" s="197"/>
      <c r="D2316" s="197"/>
      <c r="E2316" s="197"/>
      <c r="F2316" s="197"/>
      <c r="G2316" s="198"/>
      <c r="H2316" s="199"/>
      <c r="I2316" s="199"/>
      <c r="J2316" s="200"/>
      <c r="K2316" s="201"/>
      <c r="L2316" s="276"/>
      <c r="M2316" s="276"/>
      <c r="N2316" s="235"/>
      <c r="O2316" s="235"/>
      <c r="P2316" s="235"/>
      <c r="Q2316" s="235"/>
      <c r="R2316" s="235"/>
      <c r="S2316" s="236"/>
      <c r="T2316" s="236"/>
      <c r="U2316" s="236"/>
      <c r="V2316" s="235"/>
      <c r="W2316" s="235"/>
      <c r="X2316" s="235"/>
      <c r="Y2316" s="235"/>
      <c r="Z2316" s="235"/>
    </row>
    <row r="2317" spans="1:26" ht="18" customHeight="1" x14ac:dyDescent="0.2">
      <c r="A2317" s="279">
        <f t="shared" si="2587"/>
        <v>45168</v>
      </c>
      <c r="B2317" s="280" t="s">
        <v>193</v>
      </c>
      <c r="C2317" s="197"/>
      <c r="D2317" s="197"/>
      <c r="E2317" s="197"/>
      <c r="F2317" s="197"/>
      <c r="G2317" s="198"/>
      <c r="H2317" s="199"/>
      <c r="I2317" s="199"/>
      <c r="J2317" s="200"/>
      <c r="K2317" s="201"/>
      <c r="L2317" s="276"/>
      <c r="M2317" s="276"/>
      <c r="N2317" s="235"/>
      <c r="O2317" s="235"/>
      <c r="P2317" s="235"/>
      <c r="Q2317" s="235"/>
      <c r="R2317" s="235"/>
      <c r="S2317" s="236"/>
      <c r="T2317" s="236"/>
      <c r="U2317" s="236"/>
      <c r="V2317" s="235"/>
      <c r="W2317" s="235"/>
      <c r="X2317" s="235"/>
      <c r="Y2317" s="235"/>
      <c r="Z2317" s="235"/>
    </row>
    <row r="2318" spans="1:26" ht="18" customHeight="1" x14ac:dyDescent="0.2">
      <c r="A2318" s="279">
        <f t="shared" si="2587"/>
        <v>45169</v>
      </c>
      <c r="B2318" s="280" t="s">
        <v>194</v>
      </c>
      <c r="C2318" s="197"/>
      <c r="D2318" s="197"/>
      <c r="E2318" s="197"/>
      <c r="F2318" s="197"/>
      <c r="G2318" s="198"/>
      <c r="H2318" s="199"/>
      <c r="I2318" s="199"/>
      <c r="J2318" s="200"/>
      <c r="K2318" s="201"/>
      <c r="L2318" s="276"/>
      <c r="M2318" s="276"/>
      <c r="N2318" s="235"/>
      <c r="O2318" s="235"/>
      <c r="P2318" s="235"/>
      <c r="Q2318" s="235"/>
      <c r="R2318" s="235"/>
      <c r="S2318" s="236"/>
      <c r="T2318" s="236"/>
      <c r="U2318" s="236"/>
      <c r="V2318" s="235"/>
      <c r="W2318" s="235"/>
      <c r="X2318" s="235"/>
      <c r="Y2318" s="235"/>
      <c r="Z2318" s="235"/>
    </row>
    <row r="2319" spans="1:26" ht="18" customHeight="1" x14ac:dyDescent="0.2">
      <c r="A2319" s="279">
        <f t="shared" si="2587"/>
        <v>45170</v>
      </c>
      <c r="B2319" s="278" t="s">
        <v>189</v>
      </c>
      <c r="C2319" s="197"/>
      <c r="D2319" s="197"/>
      <c r="E2319" s="197"/>
      <c r="F2319" s="197"/>
      <c r="G2319" s="198"/>
      <c r="H2319" s="199"/>
      <c r="I2319" s="199"/>
      <c r="J2319" s="200"/>
      <c r="K2319" s="201"/>
      <c r="L2319" s="276"/>
      <c r="M2319" s="276"/>
      <c r="N2319" s="235"/>
      <c r="O2319" s="235"/>
      <c r="P2319" s="235"/>
      <c r="Q2319" s="235"/>
      <c r="R2319" s="235"/>
      <c r="S2319" s="236"/>
      <c r="T2319" s="236"/>
      <c r="U2319" s="236"/>
      <c r="V2319" s="235"/>
      <c r="W2319" s="235"/>
      <c r="X2319" s="235"/>
      <c r="Y2319" s="235"/>
      <c r="Z2319" s="235"/>
    </row>
    <row r="2320" spans="1:26" ht="18" customHeight="1" x14ac:dyDescent="0.2">
      <c r="A2320" s="279">
        <f t="shared" si="2587"/>
        <v>45171</v>
      </c>
      <c r="B2320" s="279" t="s">
        <v>195</v>
      </c>
      <c r="C2320" s="197"/>
      <c r="D2320" s="197"/>
      <c r="E2320" s="197"/>
      <c r="F2320" s="197"/>
      <c r="G2320" s="198"/>
      <c r="H2320" s="199"/>
      <c r="I2320" s="199"/>
      <c r="J2320" s="200"/>
      <c r="K2320" s="201"/>
      <c r="L2320" s="276"/>
      <c r="M2320" s="276"/>
      <c r="N2320" s="235"/>
      <c r="O2320" s="235"/>
      <c r="P2320" s="235"/>
      <c r="Q2320" s="235"/>
      <c r="R2320" s="235"/>
      <c r="S2320" s="236"/>
      <c r="T2320" s="236"/>
      <c r="U2320" s="236"/>
      <c r="V2320" s="235"/>
      <c r="W2320" s="235"/>
      <c r="X2320" s="235"/>
      <c r="Y2320" s="235"/>
      <c r="Z2320" s="235"/>
    </row>
    <row r="2321" spans="1:26" ht="18" customHeight="1" x14ac:dyDescent="0.2">
      <c r="A2321" s="279">
        <f t="shared" si="2587"/>
        <v>45172</v>
      </c>
      <c r="B2321" s="278" t="s">
        <v>190</v>
      </c>
      <c r="C2321" s="197"/>
      <c r="D2321" s="197"/>
      <c r="E2321" s="197"/>
      <c r="F2321" s="197"/>
      <c r="G2321" s="198"/>
      <c r="H2321" s="199"/>
      <c r="I2321" s="199"/>
      <c r="J2321" s="200"/>
      <c r="K2321" s="201"/>
      <c r="L2321" s="276"/>
      <c r="M2321" s="276"/>
      <c r="N2321" s="235"/>
      <c r="O2321" s="235"/>
      <c r="P2321" s="235"/>
      <c r="Q2321" s="235"/>
      <c r="R2321" s="235"/>
      <c r="S2321" s="236"/>
      <c r="T2321" s="236"/>
      <c r="U2321" s="236"/>
      <c r="V2321" s="235"/>
      <c r="W2321" s="235"/>
      <c r="X2321" s="235"/>
      <c r="Y2321" s="235"/>
      <c r="Z2321" s="235"/>
    </row>
    <row r="2322" spans="1:26" ht="18" customHeight="1" x14ac:dyDescent="0.2">
      <c r="A2322" s="279">
        <f t="shared" si="2587"/>
        <v>45173</v>
      </c>
      <c r="B2322" s="280" t="s">
        <v>191</v>
      </c>
      <c r="C2322" s="197"/>
      <c r="D2322" s="197"/>
      <c r="E2322" s="197"/>
      <c r="F2322" s="197"/>
      <c r="G2322" s="198"/>
      <c r="H2322" s="199"/>
      <c r="I2322" s="199"/>
      <c r="J2322" s="200"/>
      <c r="K2322" s="201"/>
      <c r="L2322" s="276"/>
      <c r="M2322" s="276"/>
      <c r="N2322" s="235"/>
      <c r="O2322" s="235"/>
      <c r="P2322" s="235"/>
      <c r="Q2322" s="235"/>
      <c r="R2322" s="235"/>
      <c r="S2322" s="236"/>
      <c r="T2322" s="236"/>
      <c r="U2322" s="236"/>
      <c r="V2322" s="235"/>
      <c r="W2322" s="235"/>
      <c r="X2322" s="235"/>
      <c r="Y2322" s="235"/>
      <c r="Z2322" s="235"/>
    </row>
    <row r="2323" spans="1:26" ht="18" customHeight="1" x14ac:dyDescent="0.2">
      <c r="A2323" s="279">
        <f t="shared" si="2587"/>
        <v>45174</v>
      </c>
      <c r="B2323" s="280" t="s">
        <v>192</v>
      </c>
      <c r="C2323" s="197"/>
      <c r="D2323" s="197"/>
      <c r="E2323" s="197"/>
      <c r="F2323" s="197"/>
      <c r="G2323" s="198"/>
      <c r="H2323" s="199"/>
      <c r="I2323" s="199"/>
      <c r="J2323" s="200"/>
      <c r="K2323" s="201"/>
      <c r="L2323" s="276"/>
      <c r="M2323" s="276"/>
      <c r="N2323" s="235"/>
      <c r="O2323" s="235"/>
      <c r="P2323" s="235"/>
      <c r="Q2323" s="235"/>
      <c r="R2323" s="235"/>
      <c r="S2323" s="236"/>
      <c r="T2323" s="236"/>
      <c r="U2323" s="236"/>
      <c r="V2323" s="235"/>
      <c r="W2323" s="235"/>
      <c r="X2323" s="235"/>
      <c r="Y2323" s="235"/>
      <c r="Z2323" s="235"/>
    </row>
    <row r="2324" spans="1:26" ht="18" customHeight="1" x14ac:dyDescent="0.2">
      <c r="A2324" s="279">
        <f t="shared" si="2587"/>
        <v>45175</v>
      </c>
      <c r="B2324" s="280" t="s">
        <v>193</v>
      </c>
      <c r="C2324" s="197"/>
      <c r="D2324" s="197"/>
      <c r="E2324" s="197"/>
      <c r="F2324" s="197"/>
      <c r="G2324" s="198"/>
      <c r="H2324" s="199"/>
      <c r="I2324" s="199"/>
      <c r="J2324" s="200"/>
      <c r="K2324" s="201"/>
      <c r="L2324" s="276"/>
      <c r="M2324" s="276"/>
      <c r="N2324" s="235"/>
      <c r="O2324" s="235"/>
      <c r="P2324" s="235"/>
      <c r="Q2324" s="235"/>
      <c r="R2324" s="235"/>
      <c r="S2324" s="236"/>
      <c r="T2324" s="236"/>
      <c r="U2324" s="236"/>
      <c r="V2324" s="235"/>
      <c r="W2324" s="235"/>
      <c r="X2324" s="235"/>
      <c r="Y2324" s="235"/>
      <c r="Z2324" s="235"/>
    </row>
    <row r="2325" spans="1:26" ht="18" customHeight="1" x14ac:dyDescent="0.2">
      <c r="A2325" s="279">
        <f t="shared" si="2587"/>
        <v>45176</v>
      </c>
      <c r="B2325" s="280" t="s">
        <v>194</v>
      </c>
      <c r="C2325" s="197"/>
      <c r="D2325" s="197"/>
      <c r="E2325" s="197"/>
      <c r="F2325" s="197"/>
      <c r="G2325" s="198"/>
      <c r="H2325" s="199"/>
      <c r="I2325" s="199"/>
      <c r="J2325" s="200"/>
      <c r="K2325" s="201"/>
      <c r="L2325" s="276"/>
      <c r="M2325" s="276"/>
      <c r="N2325" s="235"/>
      <c r="O2325" s="235"/>
      <c r="P2325" s="235"/>
      <c r="Q2325" s="235"/>
      <c r="R2325" s="235"/>
      <c r="S2325" s="236"/>
      <c r="T2325" s="236"/>
      <c r="U2325" s="236"/>
      <c r="V2325" s="235"/>
      <c r="W2325" s="235"/>
      <c r="X2325" s="235"/>
      <c r="Y2325" s="235"/>
      <c r="Z2325" s="235"/>
    </row>
    <row r="2326" spans="1:26" ht="18" customHeight="1" x14ac:dyDescent="0.2">
      <c r="A2326" s="279">
        <f t="shared" si="2587"/>
        <v>45177</v>
      </c>
      <c r="B2326" s="278" t="s">
        <v>189</v>
      </c>
      <c r="C2326" s="197"/>
      <c r="D2326" s="197"/>
      <c r="E2326" s="197"/>
      <c r="F2326" s="197"/>
      <c r="G2326" s="198"/>
      <c r="H2326" s="199"/>
      <c r="I2326" s="199"/>
      <c r="J2326" s="200"/>
      <c r="K2326" s="201"/>
      <c r="L2326" s="276"/>
      <c r="M2326" s="276"/>
      <c r="N2326" s="235"/>
      <c r="O2326" s="235"/>
      <c r="P2326" s="235"/>
      <c r="Q2326" s="235"/>
      <c r="R2326" s="235"/>
      <c r="S2326" s="236"/>
      <c r="T2326" s="236"/>
      <c r="U2326" s="236"/>
      <c r="V2326" s="235"/>
      <c r="W2326" s="235"/>
      <c r="X2326" s="235"/>
      <c r="Y2326" s="235"/>
      <c r="Z2326" s="235"/>
    </row>
    <row r="2327" spans="1:26" ht="18" customHeight="1" x14ac:dyDescent="0.2">
      <c r="A2327" s="279">
        <f t="shared" si="2587"/>
        <v>45178</v>
      </c>
      <c r="B2327" s="279" t="s">
        <v>195</v>
      </c>
      <c r="C2327" s="197"/>
      <c r="D2327" s="197"/>
      <c r="E2327" s="197"/>
      <c r="F2327" s="197"/>
      <c r="G2327" s="198"/>
      <c r="H2327" s="199"/>
      <c r="I2327" s="199"/>
      <c r="J2327" s="200"/>
      <c r="K2327" s="201"/>
      <c r="L2327" s="276"/>
      <c r="M2327" s="276"/>
      <c r="N2327" s="235"/>
      <c r="O2327" s="235"/>
      <c r="P2327" s="235"/>
      <c r="Q2327" s="235"/>
      <c r="R2327" s="235"/>
      <c r="S2327" s="236"/>
      <c r="T2327" s="236"/>
      <c r="U2327" s="236"/>
      <c r="V2327" s="235"/>
      <c r="W2327" s="235"/>
      <c r="X2327" s="235"/>
      <c r="Y2327" s="235"/>
      <c r="Z2327" s="235"/>
    </row>
    <row r="2328" spans="1:26" ht="18" customHeight="1" x14ac:dyDescent="0.2">
      <c r="A2328" s="279">
        <f t="shared" si="2587"/>
        <v>45179</v>
      </c>
      <c r="B2328" s="278" t="s">
        <v>190</v>
      </c>
      <c r="C2328" s="197"/>
      <c r="D2328" s="197"/>
      <c r="E2328" s="197"/>
      <c r="F2328" s="197"/>
      <c r="G2328" s="198"/>
      <c r="H2328" s="199"/>
      <c r="I2328" s="199"/>
      <c r="J2328" s="200"/>
      <c r="K2328" s="201"/>
      <c r="L2328" s="276"/>
      <c r="M2328" s="276"/>
      <c r="N2328" s="235"/>
      <c r="O2328" s="235"/>
      <c r="P2328" s="235"/>
      <c r="Q2328" s="235"/>
      <c r="R2328" s="235"/>
      <c r="S2328" s="236"/>
      <c r="T2328" s="236"/>
      <c r="U2328" s="236"/>
      <c r="V2328" s="235"/>
      <c r="W2328" s="235"/>
      <c r="X2328" s="235"/>
      <c r="Y2328" s="235"/>
      <c r="Z2328" s="235"/>
    </row>
    <row r="2329" spans="1:26" ht="18" customHeight="1" x14ac:dyDescent="0.2">
      <c r="A2329" s="279">
        <f t="shared" si="2587"/>
        <v>45180</v>
      </c>
      <c r="B2329" s="280" t="s">
        <v>191</v>
      </c>
      <c r="C2329" s="197"/>
      <c r="D2329" s="197"/>
      <c r="E2329" s="197"/>
      <c r="F2329" s="197"/>
      <c r="G2329" s="198"/>
      <c r="H2329" s="199"/>
      <c r="I2329" s="199"/>
      <c r="J2329" s="200"/>
      <c r="K2329" s="201"/>
      <c r="L2329" s="276"/>
      <c r="M2329" s="276"/>
      <c r="N2329" s="235"/>
      <c r="O2329" s="235"/>
      <c r="P2329" s="235"/>
      <c r="Q2329" s="235"/>
      <c r="R2329" s="235"/>
      <c r="S2329" s="236"/>
      <c r="T2329" s="236"/>
      <c r="U2329" s="236"/>
      <c r="V2329" s="235"/>
      <c r="W2329" s="235"/>
      <c r="X2329" s="235"/>
      <c r="Y2329" s="235"/>
      <c r="Z2329" s="235"/>
    </row>
    <row r="2330" spans="1:26" ht="18" customHeight="1" x14ac:dyDescent="0.2">
      <c r="A2330" s="279">
        <f t="shared" si="2587"/>
        <v>45181</v>
      </c>
      <c r="B2330" s="280" t="s">
        <v>192</v>
      </c>
      <c r="C2330" s="197"/>
      <c r="D2330" s="197"/>
      <c r="E2330" s="197"/>
      <c r="F2330" s="197"/>
      <c r="G2330" s="198"/>
      <c r="H2330" s="199"/>
      <c r="I2330" s="199"/>
      <c r="J2330" s="200"/>
      <c r="K2330" s="201"/>
      <c r="L2330" s="276"/>
      <c r="M2330" s="276"/>
      <c r="N2330" s="235"/>
      <c r="O2330" s="235"/>
      <c r="P2330" s="235"/>
      <c r="Q2330" s="235"/>
      <c r="R2330" s="235"/>
      <c r="S2330" s="236"/>
      <c r="T2330" s="236"/>
      <c r="U2330" s="236"/>
      <c r="V2330" s="235"/>
      <c r="W2330" s="235"/>
      <c r="X2330" s="235"/>
      <c r="Y2330" s="235"/>
      <c r="Z2330" s="235"/>
    </row>
    <row r="2331" spans="1:26" ht="18" customHeight="1" x14ac:dyDescent="0.2">
      <c r="A2331" s="279">
        <f t="shared" si="2587"/>
        <v>45182</v>
      </c>
      <c r="B2331" s="280" t="s">
        <v>193</v>
      </c>
      <c r="C2331" s="197"/>
      <c r="D2331" s="197"/>
      <c r="E2331" s="197"/>
      <c r="F2331" s="197"/>
      <c r="G2331" s="198"/>
      <c r="H2331" s="199"/>
      <c r="I2331" s="199"/>
      <c r="J2331" s="200"/>
      <c r="K2331" s="201"/>
      <c r="L2331" s="276"/>
      <c r="M2331" s="276"/>
      <c r="N2331" s="235"/>
      <c r="O2331" s="235"/>
      <c r="P2331" s="235"/>
      <c r="Q2331" s="235"/>
      <c r="R2331" s="235"/>
      <c r="S2331" s="236"/>
      <c r="T2331" s="236"/>
      <c r="U2331" s="236"/>
      <c r="V2331" s="235"/>
      <c r="W2331" s="235"/>
      <c r="X2331" s="235"/>
      <c r="Y2331" s="235"/>
      <c r="Z2331" s="235"/>
    </row>
    <row r="2332" spans="1:26" ht="18" customHeight="1" x14ac:dyDescent="0.2">
      <c r="A2332" s="279">
        <f t="shared" si="2587"/>
        <v>45183</v>
      </c>
      <c r="B2332" s="280" t="s">
        <v>194</v>
      </c>
      <c r="C2332" s="197"/>
      <c r="D2332" s="197"/>
      <c r="E2332" s="197"/>
      <c r="F2332" s="197"/>
      <c r="G2332" s="198"/>
      <c r="H2332" s="199"/>
      <c r="I2332" s="199"/>
      <c r="J2332" s="200"/>
      <c r="K2332" s="201"/>
      <c r="L2332" s="276"/>
      <c r="M2332" s="276"/>
      <c r="N2332" s="235"/>
      <c r="O2332" s="235"/>
      <c r="P2332" s="235"/>
      <c r="Q2332" s="235"/>
      <c r="R2332" s="235"/>
      <c r="S2332" s="236"/>
      <c r="T2332" s="236"/>
      <c r="U2332" s="236"/>
      <c r="V2332" s="235"/>
      <c r="W2332" s="235"/>
      <c r="X2332" s="235"/>
      <c r="Y2332" s="235"/>
      <c r="Z2332" s="235"/>
    </row>
    <row r="2333" spans="1:26" ht="18" customHeight="1" x14ac:dyDescent="0.2">
      <c r="A2333" s="279">
        <f t="shared" si="2587"/>
        <v>45184</v>
      </c>
      <c r="B2333" s="278" t="s">
        <v>189</v>
      </c>
      <c r="C2333" s="197"/>
      <c r="D2333" s="197"/>
      <c r="E2333" s="197"/>
      <c r="F2333" s="197"/>
      <c r="G2333" s="198"/>
      <c r="H2333" s="199"/>
      <c r="I2333" s="199"/>
      <c r="J2333" s="200"/>
      <c r="K2333" s="201"/>
      <c r="L2333" s="276"/>
      <c r="M2333" s="276"/>
      <c r="N2333" s="235"/>
      <c r="O2333" s="235"/>
      <c r="P2333" s="235"/>
      <c r="Q2333" s="235"/>
      <c r="R2333" s="235"/>
      <c r="S2333" s="236"/>
      <c r="T2333" s="236"/>
      <c r="U2333" s="236"/>
      <c r="V2333" s="235"/>
      <c r="W2333" s="235"/>
      <c r="X2333" s="235"/>
      <c r="Y2333" s="235"/>
      <c r="Z2333" s="235"/>
    </row>
    <row r="2334" spans="1:26" ht="18" customHeight="1" x14ac:dyDescent="0.2">
      <c r="A2334" s="279">
        <f t="shared" si="2587"/>
        <v>45185</v>
      </c>
      <c r="B2334" s="279" t="s">
        <v>195</v>
      </c>
      <c r="C2334" s="197"/>
      <c r="D2334" s="197"/>
      <c r="E2334" s="197"/>
      <c r="F2334" s="197"/>
      <c r="G2334" s="198"/>
      <c r="H2334" s="199"/>
      <c r="I2334" s="199"/>
      <c r="J2334" s="200"/>
      <c r="K2334" s="201"/>
      <c r="L2334" s="276"/>
      <c r="M2334" s="276"/>
      <c r="N2334" s="235"/>
      <c r="O2334" s="235"/>
      <c r="P2334" s="235"/>
      <c r="Q2334" s="235"/>
      <c r="R2334" s="235"/>
      <c r="S2334" s="236"/>
      <c r="T2334" s="236"/>
      <c r="U2334" s="236"/>
      <c r="V2334" s="235"/>
      <c r="W2334" s="235"/>
      <c r="X2334" s="235"/>
      <c r="Y2334" s="235"/>
      <c r="Z2334" s="235"/>
    </row>
    <row r="2335" spans="1:26" ht="18" customHeight="1" x14ac:dyDescent="0.2">
      <c r="A2335" s="279">
        <f t="shared" si="2587"/>
        <v>45186</v>
      </c>
      <c r="B2335" s="278" t="s">
        <v>190</v>
      </c>
      <c r="C2335" s="197"/>
      <c r="D2335" s="197"/>
      <c r="E2335" s="197"/>
      <c r="F2335" s="197"/>
      <c r="G2335" s="198"/>
      <c r="H2335" s="199"/>
      <c r="I2335" s="199"/>
      <c r="J2335" s="200"/>
      <c r="K2335" s="201"/>
      <c r="L2335" s="276"/>
      <c r="M2335" s="276"/>
      <c r="N2335" s="235"/>
      <c r="O2335" s="235"/>
      <c r="P2335" s="235"/>
      <c r="Q2335" s="235"/>
      <c r="R2335" s="235"/>
      <c r="S2335" s="236"/>
      <c r="T2335" s="236"/>
      <c r="U2335" s="236"/>
      <c r="V2335" s="235"/>
      <c r="W2335" s="235"/>
      <c r="X2335" s="235"/>
      <c r="Y2335" s="235"/>
      <c r="Z2335" s="235"/>
    </row>
    <row r="2336" spans="1:26" ht="18" customHeight="1" x14ac:dyDescent="0.2">
      <c r="A2336" s="279">
        <f t="shared" si="2587"/>
        <v>45187</v>
      </c>
      <c r="B2336" s="280" t="s">
        <v>191</v>
      </c>
      <c r="C2336" s="197"/>
      <c r="D2336" s="197"/>
      <c r="E2336" s="197"/>
      <c r="F2336" s="197"/>
      <c r="G2336" s="198"/>
      <c r="H2336" s="199"/>
      <c r="I2336" s="199"/>
      <c r="J2336" s="200"/>
      <c r="K2336" s="201"/>
      <c r="L2336" s="276"/>
      <c r="M2336" s="276"/>
      <c r="N2336" s="235"/>
      <c r="O2336" s="235"/>
      <c r="P2336" s="235"/>
      <c r="Q2336" s="235"/>
      <c r="R2336" s="235"/>
      <c r="S2336" s="236"/>
      <c r="T2336" s="236"/>
      <c r="U2336" s="236"/>
      <c r="V2336" s="235"/>
      <c r="W2336" s="235"/>
      <c r="X2336" s="235"/>
      <c r="Y2336" s="235"/>
      <c r="Z2336" s="235"/>
    </row>
    <row r="2337" spans="1:26" ht="18" customHeight="1" x14ac:dyDescent="0.2">
      <c r="A2337" s="279">
        <f t="shared" si="2587"/>
        <v>45188</v>
      </c>
      <c r="B2337" s="280" t="s">
        <v>192</v>
      </c>
      <c r="C2337" s="197"/>
      <c r="D2337" s="197"/>
      <c r="E2337" s="197"/>
      <c r="F2337" s="197"/>
      <c r="G2337" s="198"/>
      <c r="H2337" s="199"/>
      <c r="I2337" s="199"/>
      <c r="J2337" s="200"/>
      <c r="K2337" s="201"/>
      <c r="L2337" s="276"/>
      <c r="M2337" s="276"/>
      <c r="N2337" s="235"/>
      <c r="O2337" s="235"/>
      <c r="P2337" s="235"/>
      <c r="Q2337" s="235"/>
      <c r="R2337" s="235"/>
      <c r="S2337" s="236"/>
      <c r="T2337" s="236"/>
      <c r="U2337" s="236"/>
      <c r="V2337" s="235"/>
      <c r="W2337" s="235"/>
      <c r="X2337" s="235"/>
      <c r="Y2337" s="235"/>
      <c r="Z2337" s="235"/>
    </row>
    <row r="2338" spans="1:26" ht="18" customHeight="1" x14ac:dyDescent="0.2">
      <c r="A2338" s="279">
        <f t="shared" si="2587"/>
        <v>45189</v>
      </c>
      <c r="B2338" s="280" t="s">
        <v>193</v>
      </c>
      <c r="C2338" s="197"/>
      <c r="D2338" s="197"/>
      <c r="E2338" s="197"/>
      <c r="F2338" s="197"/>
      <c r="G2338" s="198"/>
      <c r="H2338" s="199"/>
      <c r="I2338" s="199"/>
      <c r="J2338" s="200"/>
      <c r="K2338" s="201"/>
      <c r="L2338" s="276"/>
      <c r="M2338" s="276"/>
      <c r="N2338" s="235"/>
      <c r="O2338" s="235"/>
      <c r="P2338" s="235"/>
      <c r="Q2338" s="235"/>
      <c r="R2338" s="235"/>
      <c r="S2338" s="236"/>
      <c r="T2338" s="236"/>
      <c r="U2338" s="236"/>
      <c r="V2338" s="235"/>
      <c r="W2338" s="235"/>
      <c r="X2338" s="235"/>
      <c r="Y2338" s="235"/>
      <c r="Z2338" s="235"/>
    </row>
    <row r="2339" spans="1:26" ht="18" customHeight="1" x14ac:dyDescent="0.2">
      <c r="A2339" s="279">
        <f t="shared" si="2587"/>
        <v>45190</v>
      </c>
      <c r="B2339" s="280" t="s">
        <v>194</v>
      </c>
      <c r="C2339" s="197"/>
      <c r="D2339" s="197"/>
      <c r="E2339" s="197"/>
      <c r="F2339" s="197"/>
      <c r="G2339" s="198"/>
      <c r="H2339" s="199"/>
      <c r="I2339" s="199"/>
      <c r="J2339" s="200"/>
      <c r="K2339" s="201"/>
      <c r="L2339" s="276"/>
      <c r="M2339" s="276"/>
      <c r="N2339" s="235"/>
      <c r="O2339" s="235"/>
      <c r="P2339" s="235"/>
      <c r="Q2339" s="235"/>
      <c r="R2339" s="235"/>
      <c r="S2339" s="236"/>
      <c r="T2339" s="236"/>
      <c r="U2339" s="236"/>
      <c r="V2339" s="235"/>
      <c r="W2339" s="235"/>
      <c r="X2339" s="235"/>
      <c r="Y2339" s="235"/>
      <c r="Z2339" s="235"/>
    </row>
    <row r="2340" spans="1:26" ht="18" customHeight="1" x14ac:dyDescent="0.2">
      <c r="A2340" s="279">
        <f t="shared" si="2587"/>
        <v>45191</v>
      </c>
      <c r="B2340" s="278" t="s">
        <v>189</v>
      </c>
      <c r="C2340" s="197"/>
      <c r="D2340" s="197"/>
      <c r="E2340" s="197"/>
      <c r="F2340" s="197"/>
      <c r="G2340" s="198"/>
      <c r="H2340" s="199"/>
      <c r="I2340" s="199"/>
      <c r="J2340" s="200"/>
      <c r="K2340" s="201"/>
      <c r="L2340" s="276"/>
      <c r="M2340" s="276"/>
      <c r="N2340" s="235"/>
      <c r="O2340" s="235"/>
      <c r="P2340" s="235"/>
      <c r="Q2340" s="235"/>
      <c r="R2340" s="235"/>
      <c r="S2340" s="236"/>
      <c r="T2340" s="236"/>
      <c r="U2340" s="236"/>
      <c r="V2340" s="235"/>
      <c r="W2340" s="235"/>
      <c r="X2340" s="235"/>
      <c r="Y2340" s="235"/>
      <c r="Z2340" s="235"/>
    </row>
    <row r="2341" spans="1:26" ht="18" customHeight="1" x14ac:dyDescent="0.2">
      <c r="A2341" s="279">
        <f t="shared" si="2587"/>
        <v>45192</v>
      </c>
      <c r="B2341" s="279" t="s">
        <v>195</v>
      </c>
      <c r="C2341" s="197"/>
      <c r="D2341" s="197"/>
      <c r="E2341" s="197"/>
      <c r="F2341" s="197"/>
      <c r="G2341" s="198"/>
      <c r="H2341" s="199"/>
      <c r="I2341" s="199"/>
      <c r="J2341" s="200"/>
      <c r="K2341" s="201"/>
      <c r="L2341" s="276"/>
      <c r="M2341" s="276"/>
      <c r="N2341" s="235"/>
      <c r="O2341" s="235"/>
      <c r="P2341" s="235"/>
      <c r="Q2341" s="235"/>
      <c r="R2341" s="235"/>
      <c r="S2341" s="236"/>
      <c r="T2341" s="236"/>
      <c r="U2341" s="236"/>
      <c r="V2341" s="235"/>
      <c r="W2341" s="235"/>
      <c r="X2341" s="235"/>
      <c r="Y2341" s="235"/>
      <c r="Z2341" s="235"/>
    </row>
    <row r="2342" spans="1:26" ht="18" customHeight="1" x14ac:dyDescent="0.2">
      <c r="A2342" s="279">
        <f t="shared" si="2587"/>
        <v>45193</v>
      </c>
      <c r="B2342" s="278" t="s">
        <v>190</v>
      </c>
      <c r="C2342" s="197"/>
      <c r="D2342" s="197"/>
      <c r="E2342" s="197"/>
      <c r="F2342" s="197"/>
      <c r="G2342" s="198"/>
      <c r="H2342" s="199"/>
      <c r="I2342" s="199"/>
      <c r="J2342" s="200"/>
      <c r="K2342" s="201"/>
      <c r="L2342" s="276"/>
      <c r="M2342" s="276"/>
      <c r="N2342" s="235"/>
      <c r="O2342" s="235"/>
      <c r="P2342" s="235"/>
      <c r="Q2342" s="235"/>
      <c r="R2342" s="235"/>
      <c r="S2342" s="236"/>
      <c r="T2342" s="236"/>
      <c r="U2342" s="236"/>
      <c r="V2342" s="235"/>
      <c r="W2342" s="235"/>
      <c r="X2342" s="235"/>
      <c r="Y2342" s="235"/>
      <c r="Z2342" s="235"/>
    </row>
    <row r="2343" spans="1:26" ht="18" customHeight="1" x14ac:dyDescent="0.2">
      <c r="A2343" s="279">
        <f t="shared" si="2587"/>
        <v>45194</v>
      </c>
      <c r="B2343" s="280" t="s">
        <v>191</v>
      </c>
      <c r="C2343" s="197"/>
      <c r="D2343" s="197"/>
      <c r="E2343" s="197"/>
      <c r="F2343" s="197"/>
      <c r="G2343" s="198"/>
      <c r="H2343" s="199"/>
      <c r="I2343" s="199"/>
      <c r="J2343" s="200"/>
      <c r="K2343" s="201"/>
      <c r="L2343" s="276"/>
      <c r="M2343" s="276"/>
      <c r="N2343" s="235"/>
      <c r="O2343" s="235"/>
      <c r="P2343" s="235"/>
      <c r="Q2343" s="235"/>
      <c r="R2343" s="235"/>
      <c r="S2343" s="236"/>
      <c r="T2343" s="236"/>
      <c r="U2343" s="236"/>
      <c r="V2343" s="235"/>
      <c r="W2343" s="235"/>
      <c r="X2343" s="235"/>
      <c r="Y2343" s="235"/>
      <c r="Z2343" s="235"/>
    </row>
    <row r="2344" spans="1:26" ht="18" customHeight="1" x14ac:dyDescent="0.2">
      <c r="A2344" s="279">
        <f t="shared" ref="A2344:A2407" si="2588">A2343+1</f>
        <v>45195</v>
      </c>
      <c r="B2344" s="280" t="s">
        <v>192</v>
      </c>
      <c r="C2344" s="197"/>
      <c r="D2344" s="197"/>
      <c r="E2344" s="197"/>
      <c r="F2344" s="197"/>
      <c r="G2344" s="198"/>
      <c r="H2344" s="199"/>
      <c r="I2344" s="199"/>
      <c r="J2344" s="200"/>
      <c r="K2344" s="201"/>
      <c r="L2344" s="276"/>
      <c r="M2344" s="276"/>
      <c r="N2344" s="235"/>
      <c r="O2344" s="235"/>
      <c r="P2344" s="235"/>
      <c r="Q2344" s="235"/>
      <c r="R2344" s="235"/>
      <c r="S2344" s="236"/>
      <c r="T2344" s="236"/>
      <c r="U2344" s="236"/>
      <c r="V2344" s="235"/>
      <c r="W2344" s="235"/>
      <c r="X2344" s="235"/>
      <c r="Y2344" s="235"/>
      <c r="Z2344" s="235"/>
    </row>
    <row r="2345" spans="1:26" ht="18" customHeight="1" x14ac:dyDescent="0.2">
      <c r="A2345" s="279">
        <f t="shared" si="2588"/>
        <v>45196</v>
      </c>
      <c r="B2345" s="280" t="s">
        <v>193</v>
      </c>
      <c r="C2345" s="197"/>
      <c r="D2345" s="197"/>
      <c r="E2345" s="197"/>
      <c r="F2345" s="197"/>
      <c r="G2345" s="198"/>
      <c r="H2345" s="199"/>
      <c r="I2345" s="199"/>
      <c r="J2345" s="200"/>
      <c r="K2345" s="201"/>
      <c r="L2345" s="276"/>
      <c r="M2345" s="276"/>
      <c r="N2345" s="235"/>
      <c r="O2345" s="235"/>
      <c r="P2345" s="235"/>
      <c r="Q2345" s="235"/>
      <c r="R2345" s="235"/>
      <c r="S2345" s="236"/>
      <c r="T2345" s="236"/>
      <c r="U2345" s="236"/>
      <c r="V2345" s="235"/>
      <c r="W2345" s="235"/>
      <c r="X2345" s="235"/>
      <c r="Y2345" s="235"/>
      <c r="Z2345" s="235"/>
    </row>
    <row r="2346" spans="1:26" ht="18" customHeight="1" x14ac:dyDescent="0.2">
      <c r="A2346" s="279">
        <f t="shared" si="2588"/>
        <v>45197</v>
      </c>
      <c r="B2346" s="280" t="s">
        <v>194</v>
      </c>
      <c r="C2346" s="197"/>
      <c r="D2346" s="197"/>
      <c r="E2346" s="197"/>
      <c r="F2346" s="197"/>
      <c r="G2346" s="198"/>
      <c r="H2346" s="199"/>
      <c r="I2346" s="199"/>
      <c r="J2346" s="200"/>
      <c r="K2346" s="201"/>
      <c r="L2346" s="276"/>
      <c r="M2346" s="276"/>
      <c r="N2346" s="235"/>
      <c r="O2346" s="235"/>
      <c r="P2346" s="235"/>
      <c r="Q2346" s="235"/>
      <c r="R2346" s="235"/>
      <c r="S2346" s="236"/>
      <c r="T2346" s="236"/>
      <c r="U2346" s="236"/>
      <c r="V2346" s="235"/>
      <c r="W2346" s="235"/>
      <c r="X2346" s="235"/>
      <c r="Y2346" s="235"/>
      <c r="Z2346" s="235"/>
    </row>
    <row r="2347" spans="1:26" ht="18" customHeight="1" x14ac:dyDescent="0.2">
      <c r="A2347" s="279">
        <f t="shared" si="2588"/>
        <v>45198</v>
      </c>
      <c r="B2347" s="278" t="s">
        <v>189</v>
      </c>
      <c r="C2347" s="197"/>
      <c r="D2347" s="197"/>
      <c r="E2347" s="197"/>
      <c r="F2347" s="197"/>
      <c r="G2347" s="198"/>
      <c r="H2347" s="199"/>
      <c r="I2347" s="199"/>
      <c r="J2347" s="200"/>
      <c r="K2347" s="201"/>
      <c r="L2347" s="276"/>
      <c r="M2347" s="276"/>
      <c r="N2347" s="235"/>
      <c r="O2347" s="235"/>
      <c r="P2347" s="235"/>
      <c r="Q2347" s="235"/>
      <c r="R2347" s="235"/>
      <c r="S2347" s="236"/>
      <c r="T2347" s="236"/>
      <c r="U2347" s="236"/>
      <c r="V2347" s="235"/>
      <c r="W2347" s="235"/>
      <c r="X2347" s="235"/>
      <c r="Y2347" s="235"/>
      <c r="Z2347" s="235"/>
    </row>
    <row r="2348" spans="1:26" ht="18" customHeight="1" x14ac:dyDescent="0.2">
      <c r="A2348" s="279">
        <f t="shared" si="2588"/>
        <v>45199</v>
      </c>
      <c r="B2348" s="279" t="s">
        <v>195</v>
      </c>
      <c r="C2348" s="197"/>
      <c r="D2348" s="197"/>
      <c r="E2348" s="197"/>
      <c r="F2348" s="197"/>
      <c r="G2348" s="198"/>
      <c r="H2348" s="199"/>
      <c r="I2348" s="199"/>
      <c r="J2348" s="200"/>
      <c r="K2348" s="201"/>
      <c r="L2348" s="276"/>
      <c r="M2348" s="276"/>
      <c r="N2348" s="235"/>
      <c r="O2348" s="235"/>
      <c r="P2348" s="235"/>
      <c r="Q2348" s="235"/>
      <c r="R2348" s="235"/>
      <c r="S2348" s="236"/>
      <c r="T2348" s="236"/>
      <c r="U2348" s="236"/>
      <c r="V2348" s="235"/>
      <c r="W2348" s="235"/>
      <c r="X2348" s="235"/>
      <c r="Y2348" s="235"/>
      <c r="Z2348" s="235"/>
    </row>
    <row r="2349" spans="1:26" ht="18" customHeight="1" x14ac:dyDescent="0.2">
      <c r="A2349" s="279">
        <f t="shared" si="2588"/>
        <v>45200</v>
      </c>
      <c r="B2349" s="278" t="s">
        <v>190</v>
      </c>
      <c r="C2349" s="197"/>
      <c r="D2349" s="197"/>
      <c r="E2349" s="197"/>
      <c r="F2349" s="197"/>
      <c r="G2349" s="198"/>
      <c r="H2349" s="199"/>
      <c r="I2349" s="199"/>
      <c r="J2349" s="200"/>
      <c r="K2349" s="201"/>
      <c r="L2349" s="276"/>
      <c r="M2349" s="276"/>
      <c r="N2349" s="235"/>
      <c r="O2349" s="235"/>
      <c r="P2349" s="235"/>
      <c r="Q2349" s="235"/>
      <c r="R2349" s="235"/>
      <c r="S2349" s="236"/>
      <c r="T2349" s="236"/>
      <c r="U2349" s="236"/>
      <c r="V2349" s="235"/>
      <c r="W2349" s="235"/>
      <c r="X2349" s="235"/>
      <c r="Y2349" s="235"/>
      <c r="Z2349" s="235"/>
    </row>
    <row r="2350" spans="1:26" ht="18" customHeight="1" x14ac:dyDescent="0.2">
      <c r="A2350" s="279">
        <f t="shared" si="2588"/>
        <v>45201</v>
      </c>
      <c r="B2350" s="280" t="s">
        <v>191</v>
      </c>
      <c r="C2350" s="197"/>
      <c r="D2350" s="197"/>
      <c r="E2350" s="197"/>
      <c r="F2350" s="197"/>
      <c r="G2350" s="198"/>
      <c r="H2350" s="199"/>
      <c r="I2350" s="199"/>
      <c r="J2350" s="200"/>
      <c r="K2350" s="201"/>
      <c r="L2350" s="276"/>
      <c r="M2350" s="276"/>
      <c r="N2350" s="235"/>
      <c r="O2350" s="235"/>
      <c r="P2350" s="235"/>
      <c r="Q2350" s="235"/>
      <c r="R2350" s="235"/>
      <c r="S2350" s="236"/>
      <c r="T2350" s="236"/>
      <c r="U2350" s="236"/>
      <c r="V2350" s="235"/>
      <c r="W2350" s="235"/>
      <c r="X2350" s="235"/>
      <c r="Y2350" s="235"/>
      <c r="Z2350" s="235"/>
    </row>
    <row r="2351" spans="1:26" ht="18" customHeight="1" x14ac:dyDescent="0.2">
      <c r="A2351" s="279">
        <f t="shared" si="2588"/>
        <v>45202</v>
      </c>
      <c r="B2351" s="280" t="s">
        <v>192</v>
      </c>
      <c r="C2351" s="197"/>
      <c r="D2351" s="197"/>
      <c r="E2351" s="197"/>
      <c r="F2351" s="197"/>
      <c r="G2351" s="198"/>
      <c r="H2351" s="199"/>
      <c r="I2351" s="199"/>
      <c r="J2351" s="200"/>
      <c r="K2351" s="201"/>
      <c r="L2351" s="276"/>
      <c r="M2351" s="276"/>
      <c r="N2351" s="235"/>
      <c r="O2351" s="235"/>
      <c r="P2351" s="235"/>
      <c r="Q2351" s="235"/>
      <c r="R2351" s="235"/>
      <c r="S2351" s="236"/>
      <c r="T2351" s="236"/>
      <c r="U2351" s="236"/>
      <c r="V2351" s="235"/>
      <c r="W2351" s="235"/>
      <c r="X2351" s="235"/>
      <c r="Y2351" s="235"/>
      <c r="Z2351" s="235"/>
    </row>
    <row r="2352" spans="1:26" ht="18" customHeight="1" x14ac:dyDescent="0.2">
      <c r="A2352" s="279">
        <f t="shared" si="2588"/>
        <v>45203</v>
      </c>
      <c r="B2352" s="280" t="s">
        <v>193</v>
      </c>
      <c r="C2352" s="197"/>
      <c r="D2352" s="197"/>
      <c r="E2352" s="197"/>
      <c r="F2352" s="197"/>
      <c r="G2352" s="198"/>
      <c r="H2352" s="199"/>
      <c r="I2352" s="199"/>
      <c r="J2352" s="200"/>
      <c r="K2352" s="201"/>
      <c r="L2352" s="276"/>
      <c r="M2352" s="276"/>
      <c r="N2352" s="235"/>
      <c r="O2352" s="235"/>
      <c r="P2352" s="235"/>
      <c r="Q2352" s="235"/>
      <c r="R2352" s="235"/>
      <c r="S2352" s="236"/>
      <c r="T2352" s="236"/>
      <c r="U2352" s="236"/>
      <c r="V2352" s="235"/>
      <c r="W2352" s="235"/>
      <c r="X2352" s="235"/>
      <c r="Y2352" s="235"/>
      <c r="Z2352" s="235"/>
    </row>
    <row r="2353" spans="1:26" ht="18" customHeight="1" x14ac:dyDescent="0.2">
      <c r="A2353" s="279">
        <f t="shared" si="2588"/>
        <v>45204</v>
      </c>
      <c r="B2353" s="280" t="s">
        <v>194</v>
      </c>
      <c r="C2353" s="197"/>
      <c r="D2353" s="197"/>
      <c r="E2353" s="197"/>
      <c r="F2353" s="197"/>
      <c r="G2353" s="198"/>
      <c r="H2353" s="199"/>
      <c r="I2353" s="199"/>
      <c r="J2353" s="200"/>
      <c r="K2353" s="201"/>
      <c r="L2353" s="276"/>
      <c r="M2353" s="276"/>
      <c r="N2353" s="235"/>
      <c r="O2353" s="235"/>
      <c r="P2353" s="235"/>
      <c r="Q2353" s="235"/>
      <c r="R2353" s="235"/>
      <c r="S2353" s="236"/>
      <c r="T2353" s="236"/>
      <c r="U2353" s="236"/>
      <c r="V2353" s="235"/>
      <c r="W2353" s="235"/>
      <c r="X2353" s="235"/>
      <c r="Y2353" s="235"/>
      <c r="Z2353" s="235"/>
    </row>
    <row r="2354" spans="1:26" ht="18" customHeight="1" x14ac:dyDescent="0.2">
      <c r="A2354" s="279">
        <f t="shared" si="2588"/>
        <v>45205</v>
      </c>
      <c r="B2354" s="278" t="s">
        <v>189</v>
      </c>
      <c r="C2354" s="197"/>
      <c r="D2354" s="197"/>
      <c r="E2354" s="197"/>
      <c r="F2354" s="197"/>
      <c r="G2354" s="198"/>
      <c r="H2354" s="199"/>
      <c r="I2354" s="199"/>
      <c r="J2354" s="200"/>
      <c r="K2354" s="201"/>
      <c r="L2354" s="276"/>
      <c r="M2354" s="276"/>
      <c r="N2354" s="235"/>
      <c r="O2354" s="235"/>
      <c r="P2354" s="235"/>
      <c r="Q2354" s="235"/>
      <c r="R2354" s="235"/>
      <c r="S2354" s="236"/>
      <c r="T2354" s="236"/>
      <c r="U2354" s="236"/>
      <c r="V2354" s="235"/>
      <c r="W2354" s="235"/>
      <c r="X2354" s="235"/>
      <c r="Y2354" s="235"/>
      <c r="Z2354" s="235"/>
    </row>
    <row r="2355" spans="1:26" ht="18" customHeight="1" x14ac:dyDescent="0.2">
      <c r="A2355" s="279">
        <f t="shared" si="2588"/>
        <v>45206</v>
      </c>
      <c r="B2355" s="279" t="s">
        <v>195</v>
      </c>
      <c r="C2355" s="197"/>
      <c r="D2355" s="197"/>
      <c r="E2355" s="197"/>
      <c r="F2355" s="197"/>
      <c r="G2355" s="198"/>
      <c r="H2355" s="199"/>
      <c r="I2355" s="199"/>
      <c r="J2355" s="200"/>
      <c r="K2355" s="201"/>
      <c r="L2355" s="276"/>
      <c r="M2355" s="276"/>
      <c r="N2355" s="235"/>
      <c r="O2355" s="235"/>
      <c r="P2355" s="235"/>
      <c r="Q2355" s="235"/>
      <c r="R2355" s="235"/>
      <c r="S2355" s="236"/>
      <c r="T2355" s="236"/>
      <c r="U2355" s="236"/>
      <c r="V2355" s="235"/>
      <c r="W2355" s="235"/>
      <c r="X2355" s="235"/>
      <c r="Y2355" s="235"/>
      <c r="Z2355" s="235"/>
    </row>
    <row r="2356" spans="1:26" ht="18" customHeight="1" x14ac:dyDescent="0.2">
      <c r="A2356" s="279">
        <f t="shared" si="2588"/>
        <v>45207</v>
      </c>
      <c r="B2356" s="278" t="s">
        <v>190</v>
      </c>
      <c r="C2356" s="197"/>
      <c r="D2356" s="197"/>
      <c r="E2356" s="197"/>
      <c r="F2356" s="197"/>
      <c r="G2356" s="198"/>
      <c r="H2356" s="199"/>
      <c r="I2356" s="199"/>
      <c r="J2356" s="200"/>
      <c r="K2356" s="201"/>
      <c r="L2356" s="276"/>
      <c r="M2356" s="276"/>
      <c r="N2356" s="235"/>
      <c r="O2356" s="235"/>
      <c r="P2356" s="235"/>
      <c r="Q2356" s="235"/>
      <c r="R2356" s="235"/>
      <c r="S2356" s="236"/>
      <c r="T2356" s="236"/>
      <c r="U2356" s="236"/>
      <c r="V2356" s="235"/>
      <c r="W2356" s="235"/>
      <c r="X2356" s="235"/>
      <c r="Y2356" s="235"/>
      <c r="Z2356" s="235"/>
    </row>
    <row r="2357" spans="1:26" ht="18" customHeight="1" x14ac:dyDescent="0.2">
      <c r="A2357" s="279">
        <f t="shared" si="2588"/>
        <v>45208</v>
      </c>
      <c r="B2357" s="280" t="s">
        <v>191</v>
      </c>
      <c r="C2357" s="197"/>
      <c r="D2357" s="197"/>
      <c r="E2357" s="197"/>
      <c r="F2357" s="197"/>
      <c r="G2357" s="198"/>
      <c r="H2357" s="199"/>
      <c r="I2357" s="199"/>
      <c r="J2357" s="200"/>
      <c r="K2357" s="201"/>
      <c r="L2357" s="276"/>
      <c r="M2357" s="276"/>
      <c r="N2357" s="235"/>
      <c r="O2357" s="235"/>
      <c r="P2357" s="235"/>
      <c r="Q2357" s="235"/>
      <c r="R2357" s="235"/>
      <c r="S2357" s="236"/>
      <c r="T2357" s="236"/>
      <c r="U2357" s="236"/>
      <c r="V2357" s="235"/>
      <c r="W2357" s="235"/>
      <c r="X2357" s="235"/>
      <c r="Y2357" s="235"/>
      <c r="Z2357" s="235"/>
    </row>
    <row r="2358" spans="1:26" ht="18" customHeight="1" x14ac:dyDescent="0.2">
      <c r="A2358" s="279">
        <f t="shared" si="2588"/>
        <v>45209</v>
      </c>
      <c r="B2358" s="280" t="s">
        <v>192</v>
      </c>
      <c r="C2358" s="197"/>
      <c r="D2358" s="197"/>
      <c r="E2358" s="197"/>
      <c r="F2358" s="197"/>
      <c r="G2358" s="198"/>
      <c r="H2358" s="199"/>
      <c r="I2358" s="199"/>
      <c r="J2358" s="200"/>
      <c r="K2358" s="201"/>
      <c r="L2358" s="276"/>
      <c r="M2358" s="276"/>
      <c r="N2358" s="235"/>
      <c r="O2358" s="235"/>
      <c r="P2358" s="235"/>
      <c r="Q2358" s="235"/>
      <c r="R2358" s="235"/>
      <c r="S2358" s="236"/>
      <c r="T2358" s="236"/>
      <c r="U2358" s="236"/>
      <c r="V2358" s="235"/>
      <c r="W2358" s="235"/>
      <c r="X2358" s="235"/>
      <c r="Y2358" s="235"/>
      <c r="Z2358" s="235"/>
    </row>
    <row r="2359" spans="1:26" ht="18" customHeight="1" x14ac:dyDescent="0.2">
      <c r="A2359" s="279">
        <f t="shared" si="2588"/>
        <v>45210</v>
      </c>
      <c r="B2359" s="280" t="s">
        <v>193</v>
      </c>
      <c r="C2359" s="197"/>
      <c r="D2359" s="197"/>
      <c r="E2359" s="197"/>
      <c r="F2359" s="197"/>
      <c r="G2359" s="198"/>
      <c r="H2359" s="199"/>
      <c r="I2359" s="199"/>
      <c r="J2359" s="200"/>
      <c r="K2359" s="201"/>
      <c r="L2359" s="276"/>
      <c r="M2359" s="276"/>
      <c r="N2359" s="235"/>
      <c r="O2359" s="235"/>
      <c r="P2359" s="235"/>
      <c r="Q2359" s="235"/>
      <c r="R2359" s="235"/>
      <c r="S2359" s="236"/>
      <c r="T2359" s="236"/>
      <c r="U2359" s="236"/>
      <c r="V2359" s="235"/>
      <c r="W2359" s="235"/>
      <c r="X2359" s="235"/>
      <c r="Y2359" s="235"/>
      <c r="Z2359" s="235"/>
    </row>
    <row r="2360" spans="1:26" ht="18" customHeight="1" x14ac:dyDescent="0.2">
      <c r="A2360" s="279">
        <f t="shared" si="2588"/>
        <v>45211</v>
      </c>
      <c r="B2360" s="280" t="s">
        <v>194</v>
      </c>
      <c r="C2360" s="197"/>
      <c r="D2360" s="197"/>
      <c r="E2360" s="197"/>
      <c r="F2360" s="197"/>
      <c r="G2360" s="198"/>
      <c r="H2360" s="199"/>
      <c r="I2360" s="199"/>
      <c r="J2360" s="200"/>
      <c r="K2360" s="201"/>
      <c r="L2360" s="276"/>
      <c r="M2360" s="276"/>
      <c r="N2360" s="235"/>
      <c r="O2360" s="235"/>
      <c r="P2360" s="235"/>
      <c r="Q2360" s="235"/>
      <c r="R2360" s="235"/>
      <c r="S2360" s="236"/>
      <c r="T2360" s="236"/>
      <c r="U2360" s="236"/>
      <c r="V2360" s="235"/>
      <c r="W2360" s="235"/>
      <c r="X2360" s="235"/>
      <c r="Y2360" s="235"/>
      <c r="Z2360" s="235"/>
    </row>
    <row r="2361" spans="1:26" ht="18" customHeight="1" x14ac:dyDescent="0.2">
      <c r="A2361" s="279">
        <f t="shared" si="2588"/>
        <v>45212</v>
      </c>
      <c r="B2361" s="278" t="s">
        <v>189</v>
      </c>
      <c r="C2361" s="197"/>
      <c r="D2361" s="197"/>
      <c r="E2361" s="197"/>
      <c r="F2361" s="197"/>
      <c r="G2361" s="198"/>
      <c r="H2361" s="199"/>
      <c r="I2361" s="199"/>
      <c r="J2361" s="200"/>
      <c r="K2361" s="201"/>
      <c r="L2361" s="276"/>
      <c r="M2361" s="276"/>
      <c r="N2361" s="235"/>
      <c r="O2361" s="235"/>
      <c r="P2361" s="235"/>
      <c r="Q2361" s="235"/>
      <c r="R2361" s="235"/>
      <c r="S2361" s="236"/>
      <c r="T2361" s="236"/>
      <c r="U2361" s="236"/>
      <c r="V2361" s="235"/>
      <c r="W2361" s="235"/>
      <c r="X2361" s="235"/>
      <c r="Y2361" s="235"/>
      <c r="Z2361" s="235"/>
    </row>
    <row r="2362" spans="1:26" ht="18" customHeight="1" x14ac:dyDescent="0.2">
      <c r="A2362" s="279">
        <f t="shared" si="2588"/>
        <v>45213</v>
      </c>
      <c r="B2362" s="279" t="s">
        <v>195</v>
      </c>
      <c r="C2362" s="197"/>
      <c r="D2362" s="197"/>
      <c r="E2362" s="197"/>
      <c r="F2362" s="197"/>
      <c r="G2362" s="198"/>
      <c r="H2362" s="199"/>
      <c r="I2362" s="199"/>
      <c r="J2362" s="200"/>
      <c r="K2362" s="201"/>
      <c r="L2362" s="276"/>
      <c r="M2362" s="276"/>
      <c r="N2362" s="235"/>
      <c r="O2362" s="235"/>
      <c r="P2362" s="235"/>
      <c r="Q2362" s="235"/>
      <c r="R2362" s="235"/>
      <c r="S2362" s="236"/>
      <c r="T2362" s="236"/>
      <c r="U2362" s="236"/>
      <c r="V2362" s="235"/>
      <c r="W2362" s="235"/>
      <c r="X2362" s="235"/>
      <c r="Y2362" s="235"/>
      <c r="Z2362" s="235"/>
    </row>
    <row r="2363" spans="1:26" ht="18" customHeight="1" x14ac:dyDescent="0.2">
      <c r="A2363" s="279">
        <f t="shared" si="2588"/>
        <v>45214</v>
      </c>
      <c r="B2363" s="278" t="s">
        <v>190</v>
      </c>
      <c r="C2363" s="197"/>
      <c r="D2363" s="197"/>
      <c r="E2363" s="197"/>
      <c r="F2363" s="197"/>
      <c r="G2363" s="198"/>
      <c r="H2363" s="199"/>
      <c r="I2363" s="199"/>
      <c r="J2363" s="200"/>
      <c r="K2363" s="201"/>
      <c r="L2363" s="276"/>
      <c r="M2363" s="276"/>
      <c r="N2363" s="235"/>
      <c r="O2363" s="235"/>
      <c r="P2363" s="235"/>
      <c r="Q2363" s="235"/>
      <c r="R2363" s="235"/>
      <c r="S2363" s="236"/>
      <c r="T2363" s="236"/>
      <c r="U2363" s="236"/>
      <c r="V2363" s="235"/>
      <c r="W2363" s="235"/>
      <c r="X2363" s="235"/>
      <c r="Y2363" s="235"/>
      <c r="Z2363" s="235"/>
    </row>
    <row r="2364" spans="1:26" ht="18" customHeight="1" x14ac:dyDescent="0.2">
      <c r="A2364" s="279">
        <f t="shared" si="2588"/>
        <v>45215</v>
      </c>
      <c r="B2364" s="280" t="s">
        <v>191</v>
      </c>
      <c r="C2364" s="197"/>
      <c r="D2364" s="197"/>
      <c r="E2364" s="197"/>
      <c r="F2364" s="197"/>
      <c r="G2364" s="198"/>
      <c r="H2364" s="199"/>
      <c r="I2364" s="199"/>
      <c r="J2364" s="200"/>
      <c r="K2364" s="201"/>
      <c r="L2364" s="276"/>
      <c r="M2364" s="276"/>
      <c r="N2364" s="235"/>
      <c r="O2364" s="235"/>
      <c r="P2364" s="235"/>
      <c r="Q2364" s="235"/>
      <c r="R2364" s="235"/>
      <c r="S2364" s="236"/>
      <c r="T2364" s="236"/>
      <c r="U2364" s="236"/>
      <c r="V2364" s="235"/>
      <c r="W2364" s="235"/>
      <c r="X2364" s="235"/>
      <c r="Y2364" s="235"/>
      <c r="Z2364" s="235"/>
    </row>
    <row r="2365" spans="1:26" ht="18" customHeight="1" x14ac:dyDescent="0.2">
      <c r="A2365" s="279">
        <f t="shared" si="2588"/>
        <v>45216</v>
      </c>
      <c r="B2365" s="280" t="s">
        <v>192</v>
      </c>
      <c r="C2365" s="197"/>
      <c r="D2365" s="197"/>
      <c r="E2365" s="197"/>
      <c r="F2365" s="197"/>
      <c r="G2365" s="198"/>
      <c r="H2365" s="199"/>
      <c r="I2365" s="199"/>
      <c r="J2365" s="200"/>
      <c r="K2365" s="201"/>
      <c r="L2365" s="276"/>
      <c r="M2365" s="276"/>
      <c r="N2365" s="235"/>
      <c r="O2365" s="235"/>
      <c r="P2365" s="235"/>
      <c r="Q2365" s="235"/>
      <c r="R2365" s="235"/>
      <c r="S2365" s="236"/>
      <c r="T2365" s="236"/>
      <c r="U2365" s="236"/>
      <c r="V2365" s="235"/>
      <c r="W2365" s="235"/>
      <c r="X2365" s="235"/>
      <c r="Y2365" s="235"/>
      <c r="Z2365" s="235"/>
    </row>
    <row r="2366" spans="1:26" ht="18" customHeight="1" x14ac:dyDescent="0.2">
      <c r="A2366" s="279">
        <f t="shared" si="2588"/>
        <v>45217</v>
      </c>
      <c r="B2366" s="280" t="s">
        <v>193</v>
      </c>
      <c r="C2366" s="197"/>
      <c r="D2366" s="197"/>
      <c r="E2366" s="197"/>
      <c r="F2366" s="197"/>
      <c r="G2366" s="198"/>
      <c r="H2366" s="199"/>
      <c r="I2366" s="199"/>
      <c r="J2366" s="200"/>
      <c r="K2366" s="201"/>
      <c r="L2366" s="276"/>
      <c r="M2366" s="276"/>
      <c r="N2366" s="235"/>
      <c r="O2366" s="235"/>
      <c r="P2366" s="235"/>
      <c r="Q2366" s="235"/>
      <c r="R2366" s="235"/>
      <c r="S2366" s="236"/>
      <c r="T2366" s="236"/>
      <c r="U2366" s="236"/>
      <c r="V2366" s="235"/>
      <c r="W2366" s="235"/>
      <c r="X2366" s="235"/>
      <c r="Y2366" s="235"/>
      <c r="Z2366" s="235"/>
    </row>
    <row r="2367" spans="1:26" ht="18" customHeight="1" x14ac:dyDescent="0.2">
      <c r="A2367" s="279">
        <f t="shared" si="2588"/>
        <v>45218</v>
      </c>
      <c r="B2367" s="280" t="s">
        <v>194</v>
      </c>
      <c r="C2367" s="197"/>
      <c r="D2367" s="197"/>
      <c r="E2367" s="197"/>
      <c r="F2367" s="197"/>
      <c r="G2367" s="198"/>
      <c r="H2367" s="199"/>
      <c r="I2367" s="199"/>
      <c r="J2367" s="200"/>
      <c r="K2367" s="201"/>
      <c r="L2367" s="276"/>
      <c r="M2367" s="276"/>
      <c r="N2367" s="235"/>
      <c r="O2367" s="235"/>
      <c r="P2367" s="235"/>
      <c r="Q2367" s="235"/>
      <c r="R2367" s="235"/>
      <c r="S2367" s="236"/>
      <c r="T2367" s="236"/>
      <c r="U2367" s="236"/>
      <c r="V2367" s="235"/>
      <c r="W2367" s="235"/>
      <c r="X2367" s="235"/>
      <c r="Y2367" s="235"/>
      <c r="Z2367" s="235"/>
    </row>
    <row r="2368" spans="1:26" ht="18" customHeight="1" x14ac:dyDescent="0.2">
      <c r="A2368" s="279">
        <f t="shared" si="2588"/>
        <v>45219</v>
      </c>
      <c r="B2368" s="278" t="s">
        <v>189</v>
      </c>
      <c r="C2368" s="197"/>
      <c r="D2368" s="197"/>
      <c r="E2368" s="197"/>
      <c r="F2368" s="197"/>
      <c r="G2368" s="198"/>
      <c r="H2368" s="199"/>
      <c r="I2368" s="199"/>
      <c r="J2368" s="200"/>
      <c r="K2368" s="201"/>
      <c r="L2368" s="276"/>
      <c r="M2368" s="276"/>
      <c r="N2368" s="235"/>
      <c r="O2368" s="235"/>
      <c r="P2368" s="235"/>
      <c r="Q2368" s="235"/>
      <c r="R2368" s="235"/>
      <c r="S2368" s="236"/>
      <c r="T2368" s="236"/>
      <c r="U2368" s="236"/>
      <c r="V2368" s="235"/>
      <c r="W2368" s="235"/>
      <c r="X2368" s="235"/>
      <c r="Y2368" s="235"/>
      <c r="Z2368" s="235"/>
    </row>
    <row r="2369" spans="1:26" ht="18" customHeight="1" x14ac:dyDescent="0.2">
      <c r="A2369" s="279">
        <f t="shared" si="2588"/>
        <v>45220</v>
      </c>
      <c r="B2369" s="279" t="s">
        <v>195</v>
      </c>
      <c r="C2369" s="197"/>
      <c r="D2369" s="197"/>
      <c r="E2369" s="197"/>
      <c r="F2369" s="197"/>
      <c r="G2369" s="198"/>
      <c r="H2369" s="199"/>
      <c r="I2369" s="199"/>
      <c r="J2369" s="200"/>
      <c r="K2369" s="201"/>
      <c r="L2369" s="276"/>
      <c r="M2369" s="276"/>
      <c r="N2369" s="235"/>
      <c r="O2369" s="235"/>
      <c r="P2369" s="235"/>
      <c r="Q2369" s="235"/>
      <c r="R2369" s="235"/>
      <c r="S2369" s="236"/>
      <c r="T2369" s="236"/>
      <c r="U2369" s="236"/>
      <c r="V2369" s="235"/>
      <c r="W2369" s="235"/>
      <c r="X2369" s="235"/>
      <c r="Y2369" s="235"/>
      <c r="Z2369" s="235"/>
    </row>
    <row r="2370" spans="1:26" ht="18" customHeight="1" x14ac:dyDescent="0.2">
      <c r="A2370" s="279">
        <f t="shared" si="2588"/>
        <v>45221</v>
      </c>
      <c r="B2370" s="278" t="s">
        <v>190</v>
      </c>
      <c r="C2370" s="197"/>
      <c r="D2370" s="197"/>
      <c r="E2370" s="197"/>
      <c r="F2370" s="197"/>
      <c r="G2370" s="198"/>
      <c r="H2370" s="199"/>
      <c r="I2370" s="199"/>
      <c r="J2370" s="200"/>
      <c r="K2370" s="201"/>
      <c r="L2370" s="276"/>
      <c r="M2370" s="276"/>
      <c r="N2370" s="235"/>
      <c r="O2370" s="235"/>
      <c r="P2370" s="235"/>
      <c r="Q2370" s="235"/>
      <c r="R2370" s="235"/>
      <c r="S2370" s="236"/>
      <c r="T2370" s="236"/>
      <c r="U2370" s="236"/>
      <c r="V2370" s="235"/>
      <c r="W2370" s="235"/>
      <c r="X2370" s="235"/>
      <c r="Y2370" s="235"/>
      <c r="Z2370" s="235"/>
    </row>
    <row r="2371" spans="1:26" ht="18" customHeight="1" x14ac:dyDescent="0.2">
      <c r="A2371" s="279">
        <f t="shared" si="2588"/>
        <v>45222</v>
      </c>
      <c r="B2371" s="280" t="s">
        <v>191</v>
      </c>
      <c r="C2371" s="197"/>
      <c r="D2371" s="197"/>
      <c r="E2371" s="197"/>
      <c r="F2371" s="197"/>
      <c r="G2371" s="198"/>
      <c r="H2371" s="199"/>
      <c r="I2371" s="199"/>
      <c r="J2371" s="200"/>
      <c r="K2371" s="201"/>
      <c r="L2371" s="276"/>
      <c r="M2371" s="276"/>
      <c r="N2371" s="235"/>
      <c r="O2371" s="235"/>
      <c r="P2371" s="235"/>
      <c r="Q2371" s="235"/>
      <c r="R2371" s="235"/>
      <c r="S2371" s="236"/>
      <c r="T2371" s="236"/>
      <c r="U2371" s="236"/>
      <c r="V2371" s="235"/>
      <c r="W2371" s="235"/>
      <c r="X2371" s="235"/>
      <c r="Y2371" s="235"/>
      <c r="Z2371" s="235"/>
    </row>
    <row r="2372" spans="1:26" ht="18" customHeight="1" x14ac:dyDescent="0.2">
      <c r="A2372" s="279">
        <f t="shared" si="2588"/>
        <v>45223</v>
      </c>
      <c r="B2372" s="280" t="s">
        <v>192</v>
      </c>
      <c r="C2372" s="197"/>
      <c r="D2372" s="197"/>
      <c r="E2372" s="197"/>
      <c r="F2372" s="197"/>
      <c r="G2372" s="198"/>
      <c r="H2372" s="199"/>
      <c r="I2372" s="199"/>
      <c r="J2372" s="200"/>
      <c r="K2372" s="201"/>
      <c r="L2372" s="276"/>
      <c r="M2372" s="276"/>
      <c r="N2372" s="235"/>
      <c r="O2372" s="235"/>
      <c r="P2372" s="235"/>
      <c r="Q2372" s="235"/>
      <c r="R2372" s="235"/>
      <c r="S2372" s="236"/>
      <c r="T2372" s="236"/>
      <c r="U2372" s="236"/>
      <c r="V2372" s="235"/>
      <c r="W2372" s="235"/>
      <c r="X2372" s="235"/>
      <c r="Y2372" s="235"/>
      <c r="Z2372" s="235"/>
    </row>
    <row r="2373" spans="1:26" ht="18" customHeight="1" x14ac:dyDescent="0.2">
      <c r="A2373" s="279">
        <f t="shared" si="2588"/>
        <v>45224</v>
      </c>
      <c r="B2373" s="280" t="s">
        <v>193</v>
      </c>
      <c r="C2373" s="197"/>
      <c r="D2373" s="197"/>
      <c r="E2373" s="197"/>
      <c r="F2373" s="197"/>
      <c r="G2373" s="198"/>
      <c r="H2373" s="199"/>
      <c r="I2373" s="199"/>
      <c r="J2373" s="200"/>
      <c r="K2373" s="201"/>
      <c r="L2373" s="276"/>
      <c r="M2373" s="276"/>
      <c r="N2373" s="235"/>
      <c r="O2373" s="235"/>
      <c r="P2373" s="235"/>
      <c r="Q2373" s="235"/>
      <c r="R2373" s="235"/>
      <c r="S2373" s="236"/>
      <c r="T2373" s="236"/>
      <c r="U2373" s="236"/>
      <c r="V2373" s="235"/>
      <c r="W2373" s="235"/>
      <c r="X2373" s="235"/>
      <c r="Y2373" s="235"/>
      <c r="Z2373" s="235"/>
    </row>
    <row r="2374" spans="1:26" ht="18" customHeight="1" x14ac:dyDescent="0.2">
      <c r="A2374" s="279">
        <f t="shared" si="2588"/>
        <v>45225</v>
      </c>
      <c r="B2374" s="280" t="s">
        <v>194</v>
      </c>
      <c r="C2374" s="197"/>
      <c r="D2374" s="197"/>
      <c r="E2374" s="197"/>
      <c r="F2374" s="197"/>
      <c r="G2374" s="198"/>
      <c r="H2374" s="199"/>
      <c r="I2374" s="199"/>
      <c r="J2374" s="200"/>
      <c r="K2374" s="201"/>
      <c r="L2374" s="276"/>
      <c r="M2374" s="276"/>
      <c r="N2374" s="235"/>
      <c r="O2374" s="235"/>
      <c r="P2374" s="235"/>
      <c r="Q2374" s="235"/>
      <c r="R2374" s="235"/>
      <c r="S2374" s="236"/>
      <c r="T2374" s="236"/>
      <c r="U2374" s="236"/>
      <c r="V2374" s="235"/>
      <c r="W2374" s="235"/>
      <c r="X2374" s="235"/>
      <c r="Y2374" s="235"/>
      <c r="Z2374" s="235"/>
    </row>
    <row r="2375" spans="1:26" ht="18" customHeight="1" x14ac:dyDescent="0.2">
      <c r="A2375" s="279">
        <f t="shared" si="2588"/>
        <v>45226</v>
      </c>
      <c r="B2375" s="278" t="s">
        <v>189</v>
      </c>
      <c r="C2375" s="197"/>
      <c r="D2375" s="197"/>
      <c r="E2375" s="197"/>
      <c r="F2375" s="197"/>
      <c r="G2375" s="198"/>
      <c r="H2375" s="199"/>
      <c r="I2375" s="199"/>
      <c r="J2375" s="200"/>
      <c r="K2375" s="201"/>
      <c r="L2375" s="276"/>
      <c r="M2375" s="276"/>
      <c r="N2375" s="235"/>
      <c r="O2375" s="235"/>
      <c r="P2375" s="235"/>
      <c r="Q2375" s="235"/>
      <c r="R2375" s="235"/>
      <c r="S2375" s="236"/>
      <c r="T2375" s="236"/>
      <c r="U2375" s="236"/>
      <c r="V2375" s="235"/>
      <c r="W2375" s="235"/>
      <c r="X2375" s="235"/>
      <c r="Y2375" s="235"/>
      <c r="Z2375" s="235"/>
    </row>
    <row r="2376" spans="1:26" ht="18" customHeight="1" x14ac:dyDescent="0.2">
      <c r="A2376" s="279">
        <f t="shared" si="2588"/>
        <v>45227</v>
      </c>
      <c r="B2376" s="279" t="s">
        <v>195</v>
      </c>
      <c r="C2376" s="197"/>
      <c r="D2376" s="197"/>
      <c r="E2376" s="197"/>
      <c r="F2376" s="197"/>
      <c r="G2376" s="198"/>
      <c r="H2376" s="199"/>
      <c r="I2376" s="199"/>
      <c r="J2376" s="200"/>
      <c r="K2376" s="201"/>
      <c r="L2376" s="276"/>
      <c r="M2376" s="276"/>
      <c r="N2376" s="235"/>
      <c r="O2376" s="235"/>
      <c r="P2376" s="235"/>
      <c r="Q2376" s="235"/>
      <c r="R2376" s="235"/>
      <c r="S2376" s="236"/>
      <c r="T2376" s="236"/>
      <c r="U2376" s="236"/>
      <c r="V2376" s="235"/>
      <c r="W2376" s="235"/>
      <c r="X2376" s="235"/>
      <c r="Y2376" s="235"/>
      <c r="Z2376" s="235"/>
    </row>
    <row r="2377" spans="1:26" ht="18" customHeight="1" x14ac:dyDescent="0.2">
      <c r="A2377" s="279">
        <f t="shared" si="2588"/>
        <v>45228</v>
      </c>
      <c r="B2377" s="278" t="s">
        <v>190</v>
      </c>
      <c r="C2377" s="197"/>
      <c r="D2377" s="197"/>
      <c r="E2377" s="197"/>
      <c r="F2377" s="197"/>
      <c r="G2377" s="198"/>
      <c r="H2377" s="199"/>
      <c r="I2377" s="199"/>
      <c r="J2377" s="200"/>
      <c r="K2377" s="201"/>
      <c r="L2377" s="276"/>
      <c r="M2377" s="276"/>
      <c r="N2377" s="235"/>
      <c r="O2377" s="235"/>
      <c r="P2377" s="235"/>
      <c r="Q2377" s="235"/>
      <c r="R2377" s="235"/>
      <c r="S2377" s="236"/>
      <c r="T2377" s="236"/>
      <c r="U2377" s="236"/>
      <c r="V2377" s="235"/>
      <c r="W2377" s="235"/>
      <c r="X2377" s="235"/>
      <c r="Y2377" s="235"/>
      <c r="Z2377" s="235"/>
    </row>
    <row r="2378" spans="1:26" ht="18" customHeight="1" x14ac:dyDescent="0.2">
      <c r="A2378" s="279">
        <f t="shared" si="2588"/>
        <v>45229</v>
      </c>
      <c r="B2378" s="280" t="s">
        <v>191</v>
      </c>
      <c r="C2378" s="197"/>
      <c r="D2378" s="197"/>
      <c r="E2378" s="197"/>
      <c r="F2378" s="197"/>
      <c r="G2378" s="198"/>
      <c r="H2378" s="199"/>
      <c r="I2378" s="199"/>
      <c r="J2378" s="200"/>
      <c r="K2378" s="201"/>
      <c r="L2378" s="276"/>
      <c r="M2378" s="276"/>
      <c r="N2378" s="235"/>
      <c r="O2378" s="235"/>
      <c r="P2378" s="235"/>
      <c r="Q2378" s="235"/>
      <c r="R2378" s="235"/>
      <c r="S2378" s="236"/>
      <c r="T2378" s="236"/>
      <c r="U2378" s="236"/>
      <c r="V2378" s="235"/>
      <c r="W2378" s="235"/>
      <c r="X2378" s="235"/>
      <c r="Y2378" s="235"/>
      <c r="Z2378" s="235"/>
    </row>
    <row r="2379" spans="1:26" ht="18" customHeight="1" x14ac:dyDescent="0.2">
      <c r="A2379" s="279">
        <f t="shared" si="2588"/>
        <v>45230</v>
      </c>
      <c r="B2379" s="280" t="s">
        <v>192</v>
      </c>
      <c r="C2379" s="197"/>
      <c r="D2379" s="197"/>
      <c r="E2379" s="197"/>
      <c r="F2379" s="197"/>
      <c r="G2379" s="198"/>
      <c r="H2379" s="199"/>
      <c r="I2379" s="199"/>
      <c r="J2379" s="200"/>
      <c r="K2379" s="201"/>
      <c r="L2379" s="276"/>
      <c r="M2379" s="276"/>
      <c r="N2379" s="235"/>
      <c r="O2379" s="235"/>
      <c r="P2379" s="235"/>
      <c r="Q2379" s="235"/>
      <c r="R2379" s="235"/>
      <c r="S2379" s="236"/>
      <c r="T2379" s="236"/>
      <c r="U2379" s="236"/>
      <c r="V2379" s="235"/>
      <c r="W2379" s="235"/>
      <c r="X2379" s="235"/>
      <c r="Y2379" s="235"/>
      <c r="Z2379" s="235"/>
    </row>
    <row r="2380" spans="1:26" ht="18" customHeight="1" x14ac:dyDescent="0.2">
      <c r="A2380" s="279">
        <f t="shared" si="2588"/>
        <v>45231</v>
      </c>
      <c r="B2380" s="280" t="s">
        <v>193</v>
      </c>
      <c r="C2380" s="197"/>
      <c r="D2380" s="197"/>
      <c r="E2380" s="197"/>
      <c r="F2380" s="197"/>
      <c r="G2380" s="198"/>
      <c r="H2380" s="199"/>
      <c r="I2380" s="199"/>
      <c r="J2380" s="200"/>
      <c r="K2380" s="201"/>
      <c r="L2380" s="276"/>
      <c r="M2380" s="276"/>
      <c r="N2380" s="235"/>
      <c r="O2380" s="235"/>
      <c r="P2380" s="235"/>
      <c r="Q2380" s="235"/>
      <c r="R2380" s="235"/>
      <c r="S2380" s="236"/>
      <c r="T2380" s="236"/>
      <c r="U2380" s="236"/>
      <c r="V2380" s="235"/>
      <c r="W2380" s="235"/>
      <c r="X2380" s="235"/>
      <c r="Y2380" s="235"/>
      <c r="Z2380" s="235"/>
    </row>
    <row r="2381" spans="1:26" ht="18" customHeight="1" x14ac:dyDescent="0.2">
      <c r="A2381" s="279">
        <f t="shared" si="2588"/>
        <v>45232</v>
      </c>
      <c r="B2381" s="280" t="s">
        <v>194</v>
      </c>
      <c r="C2381" s="197"/>
      <c r="D2381" s="197"/>
      <c r="E2381" s="197"/>
      <c r="F2381" s="197"/>
      <c r="G2381" s="198"/>
      <c r="H2381" s="199"/>
      <c r="I2381" s="199"/>
      <c r="J2381" s="200"/>
      <c r="K2381" s="201"/>
      <c r="L2381" s="276"/>
      <c r="M2381" s="276"/>
      <c r="N2381" s="235"/>
      <c r="O2381" s="235"/>
      <c r="P2381" s="235"/>
      <c r="Q2381" s="235"/>
      <c r="R2381" s="235"/>
      <c r="S2381" s="236"/>
      <c r="T2381" s="236"/>
      <c r="U2381" s="236"/>
      <c r="V2381" s="235"/>
      <c r="W2381" s="235"/>
      <c r="X2381" s="235"/>
      <c r="Y2381" s="235"/>
      <c r="Z2381" s="235"/>
    </row>
    <row r="2382" spans="1:26" ht="18" customHeight="1" x14ac:dyDescent="0.2">
      <c r="A2382" s="279">
        <f t="shared" si="2588"/>
        <v>45233</v>
      </c>
      <c r="B2382" s="278" t="s">
        <v>189</v>
      </c>
      <c r="C2382" s="197"/>
      <c r="D2382" s="197"/>
      <c r="E2382" s="197"/>
      <c r="F2382" s="197"/>
      <c r="G2382" s="198"/>
      <c r="H2382" s="199"/>
      <c r="I2382" s="199"/>
      <c r="J2382" s="200"/>
      <c r="K2382" s="201"/>
      <c r="L2382" s="276"/>
      <c r="M2382" s="276"/>
      <c r="N2382" s="235"/>
      <c r="O2382" s="235"/>
      <c r="P2382" s="235"/>
      <c r="Q2382" s="235"/>
      <c r="R2382" s="235"/>
      <c r="S2382" s="236"/>
      <c r="T2382" s="236"/>
      <c r="U2382" s="236"/>
      <c r="V2382" s="235"/>
      <c r="W2382" s="235"/>
      <c r="X2382" s="235"/>
      <c r="Y2382" s="235"/>
      <c r="Z2382" s="235"/>
    </row>
    <row r="2383" spans="1:26" ht="18" customHeight="1" x14ac:dyDescent="0.2">
      <c r="A2383" s="279">
        <f t="shared" si="2588"/>
        <v>45234</v>
      </c>
      <c r="B2383" s="279" t="s">
        <v>195</v>
      </c>
      <c r="C2383" s="197"/>
      <c r="D2383" s="197"/>
      <c r="E2383" s="197"/>
      <c r="F2383" s="197"/>
      <c r="G2383" s="198"/>
      <c r="H2383" s="199"/>
      <c r="I2383" s="199"/>
      <c r="J2383" s="200"/>
      <c r="K2383" s="201"/>
      <c r="L2383" s="276"/>
      <c r="M2383" s="276"/>
      <c r="N2383" s="235"/>
      <c r="O2383" s="235"/>
      <c r="P2383" s="235"/>
      <c r="Q2383" s="235"/>
      <c r="R2383" s="235"/>
      <c r="S2383" s="236"/>
      <c r="T2383" s="236"/>
      <c r="U2383" s="236"/>
      <c r="V2383" s="235"/>
      <c r="W2383" s="235"/>
      <c r="X2383" s="235"/>
      <c r="Y2383" s="235"/>
      <c r="Z2383" s="235"/>
    </row>
    <row r="2384" spans="1:26" ht="18" customHeight="1" x14ac:dyDescent="0.2">
      <c r="A2384" s="279">
        <f t="shared" si="2588"/>
        <v>45235</v>
      </c>
      <c r="B2384" s="278" t="s">
        <v>190</v>
      </c>
      <c r="C2384" s="197"/>
      <c r="D2384" s="197"/>
      <c r="E2384" s="197"/>
      <c r="F2384" s="197"/>
      <c r="G2384" s="198"/>
      <c r="H2384" s="199"/>
      <c r="I2384" s="199"/>
      <c r="J2384" s="200"/>
      <c r="K2384" s="201"/>
      <c r="L2384" s="276"/>
      <c r="M2384" s="276"/>
      <c r="N2384" s="235"/>
      <c r="O2384" s="235"/>
      <c r="P2384" s="235"/>
      <c r="Q2384" s="235"/>
      <c r="R2384" s="235"/>
      <c r="S2384" s="236"/>
      <c r="T2384" s="236"/>
      <c r="U2384" s="236"/>
      <c r="V2384" s="235"/>
      <c r="W2384" s="235"/>
      <c r="X2384" s="235"/>
      <c r="Y2384" s="235"/>
      <c r="Z2384" s="235"/>
    </row>
    <row r="2385" spans="1:26" ht="18" customHeight="1" x14ac:dyDescent="0.2">
      <c r="A2385" s="279">
        <f t="shared" si="2588"/>
        <v>45236</v>
      </c>
      <c r="B2385" s="280" t="s">
        <v>191</v>
      </c>
      <c r="C2385" s="197"/>
      <c r="D2385" s="197"/>
      <c r="E2385" s="197"/>
      <c r="F2385" s="197"/>
      <c r="G2385" s="198"/>
      <c r="H2385" s="199"/>
      <c r="I2385" s="199"/>
      <c r="J2385" s="200"/>
      <c r="K2385" s="201"/>
      <c r="L2385" s="276"/>
      <c r="M2385" s="276"/>
      <c r="N2385" s="235"/>
      <c r="O2385" s="235"/>
      <c r="P2385" s="235"/>
      <c r="Q2385" s="235"/>
      <c r="R2385" s="235"/>
      <c r="S2385" s="236"/>
      <c r="T2385" s="236"/>
      <c r="U2385" s="236"/>
      <c r="V2385" s="235"/>
      <c r="W2385" s="235"/>
      <c r="X2385" s="235"/>
      <c r="Y2385" s="235"/>
      <c r="Z2385" s="235"/>
    </row>
    <row r="2386" spans="1:26" ht="18" customHeight="1" x14ac:dyDescent="0.2">
      <c r="A2386" s="279">
        <f t="shared" si="2588"/>
        <v>45237</v>
      </c>
      <c r="B2386" s="280" t="s">
        <v>192</v>
      </c>
      <c r="C2386" s="197"/>
      <c r="D2386" s="197"/>
      <c r="E2386" s="197"/>
      <c r="F2386" s="197"/>
      <c r="G2386" s="198"/>
      <c r="H2386" s="199"/>
      <c r="I2386" s="199"/>
      <c r="J2386" s="200"/>
      <c r="K2386" s="201"/>
      <c r="L2386" s="276"/>
      <c r="M2386" s="276"/>
      <c r="N2386" s="235"/>
      <c r="O2386" s="235"/>
      <c r="P2386" s="235"/>
      <c r="Q2386" s="235"/>
      <c r="R2386" s="235"/>
      <c r="S2386" s="236"/>
      <c r="T2386" s="236"/>
      <c r="U2386" s="236"/>
      <c r="V2386" s="235"/>
      <c r="W2386" s="235"/>
      <c r="X2386" s="235"/>
      <c r="Y2386" s="235"/>
      <c r="Z2386" s="235"/>
    </row>
    <row r="2387" spans="1:26" ht="18" customHeight="1" x14ac:dyDescent="0.2">
      <c r="A2387" s="279">
        <f t="shared" si="2588"/>
        <v>45238</v>
      </c>
      <c r="B2387" s="280" t="s">
        <v>193</v>
      </c>
      <c r="C2387" s="197"/>
      <c r="D2387" s="197"/>
      <c r="E2387" s="197"/>
      <c r="F2387" s="197"/>
      <c r="G2387" s="198"/>
      <c r="H2387" s="199"/>
      <c r="I2387" s="199"/>
      <c r="J2387" s="200"/>
      <c r="K2387" s="201"/>
      <c r="L2387" s="276"/>
      <c r="M2387" s="276"/>
      <c r="N2387" s="235"/>
      <c r="O2387" s="235"/>
      <c r="P2387" s="235"/>
      <c r="Q2387" s="235"/>
      <c r="R2387" s="235"/>
      <c r="S2387" s="236"/>
      <c r="T2387" s="236"/>
      <c r="U2387" s="236"/>
      <c r="V2387" s="235"/>
      <c r="W2387" s="235"/>
      <c r="X2387" s="235"/>
      <c r="Y2387" s="235"/>
      <c r="Z2387" s="235"/>
    </row>
    <row r="2388" spans="1:26" ht="18" customHeight="1" x14ac:dyDescent="0.2">
      <c r="A2388" s="279">
        <f t="shared" si="2588"/>
        <v>45239</v>
      </c>
      <c r="B2388" s="280" t="s">
        <v>194</v>
      </c>
      <c r="C2388" s="197"/>
      <c r="D2388" s="197"/>
      <c r="E2388" s="197"/>
      <c r="F2388" s="197"/>
      <c r="G2388" s="198"/>
      <c r="H2388" s="199"/>
      <c r="I2388" s="199"/>
      <c r="J2388" s="200"/>
      <c r="K2388" s="201"/>
      <c r="L2388" s="276"/>
      <c r="M2388" s="276"/>
      <c r="N2388" s="235"/>
      <c r="O2388" s="235"/>
      <c r="P2388" s="235"/>
      <c r="Q2388" s="235"/>
      <c r="R2388" s="235"/>
      <c r="S2388" s="236"/>
      <c r="T2388" s="236"/>
      <c r="U2388" s="236"/>
      <c r="V2388" s="235"/>
      <c r="W2388" s="235"/>
      <c r="X2388" s="235"/>
      <c r="Y2388" s="235"/>
      <c r="Z2388" s="235"/>
    </row>
    <row r="2389" spans="1:26" ht="18" customHeight="1" x14ac:dyDescent="0.2">
      <c r="A2389" s="279">
        <f t="shared" si="2588"/>
        <v>45240</v>
      </c>
      <c r="B2389" s="278" t="s">
        <v>189</v>
      </c>
      <c r="C2389" s="197"/>
      <c r="D2389" s="197"/>
      <c r="E2389" s="197"/>
      <c r="F2389" s="197"/>
      <c r="G2389" s="198"/>
      <c r="H2389" s="199"/>
      <c r="I2389" s="199"/>
      <c r="J2389" s="200"/>
      <c r="K2389" s="201"/>
      <c r="L2389" s="276"/>
      <c r="M2389" s="276"/>
      <c r="N2389" s="235"/>
      <c r="O2389" s="235"/>
      <c r="P2389" s="235"/>
      <c r="Q2389" s="235"/>
      <c r="R2389" s="235"/>
      <c r="S2389" s="236"/>
      <c r="T2389" s="236"/>
      <c r="U2389" s="236"/>
      <c r="V2389" s="235"/>
      <c r="W2389" s="235"/>
      <c r="X2389" s="235"/>
      <c r="Y2389" s="235"/>
      <c r="Z2389" s="235"/>
    </row>
    <row r="2390" spans="1:26" ht="18" customHeight="1" x14ac:dyDescent="0.2">
      <c r="A2390" s="279">
        <f t="shared" si="2588"/>
        <v>45241</v>
      </c>
      <c r="B2390" s="279" t="s">
        <v>195</v>
      </c>
      <c r="C2390" s="197"/>
      <c r="D2390" s="197"/>
      <c r="E2390" s="197"/>
      <c r="F2390" s="197"/>
      <c r="G2390" s="198"/>
      <c r="H2390" s="199"/>
      <c r="I2390" s="199"/>
      <c r="J2390" s="200"/>
      <c r="K2390" s="201"/>
      <c r="L2390" s="276"/>
      <c r="M2390" s="276"/>
      <c r="N2390" s="235"/>
      <c r="O2390" s="235"/>
      <c r="P2390" s="235"/>
      <c r="Q2390" s="235"/>
      <c r="R2390" s="235"/>
      <c r="S2390" s="236"/>
      <c r="T2390" s="236"/>
      <c r="U2390" s="236"/>
      <c r="V2390" s="235"/>
      <c r="W2390" s="235"/>
      <c r="X2390" s="235"/>
      <c r="Y2390" s="235"/>
      <c r="Z2390" s="235"/>
    </row>
    <row r="2391" spans="1:26" ht="18" customHeight="1" x14ac:dyDescent="0.2">
      <c r="A2391" s="279">
        <f t="shared" si="2588"/>
        <v>45242</v>
      </c>
      <c r="B2391" s="278" t="s">
        <v>190</v>
      </c>
      <c r="C2391" s="197"/>
      <c r="D2391" s="197"/>
      <c r="E2391" s="197"/>
      <c r="F2391" s="197"/>
      <c r="G2391" s="198"/>
      <c r="H2391" s="199"/>
      <c r="I2391" s="199"/>
      <c r="J2391" s="200"/>
      <c r="K2391" s="201"/>
      <c r="L2391" s="276"/>
      <c r="M2391" s="276"/>
      <c r="N2391" s="235"/>
      <c r="O2391" s="235"/>
      <c r="P2391" s="235"/>
      <c r="Q2391" s="235"/>
      <c r="R2391" s="235"/>
      <c r="S2391" s="236"/>
      <c r="T2391" s="236"/>
      <c r="U2391" s="236"/>
      <c r="V2391" s="235"/>
      <c r="W2391" s="235"/>
      <c r="X2391" s="235"/>
      <c r="Y2391" s="235"/>
      <c r="Z2391" s="235"/>
    </row>
    <row r="2392" spans="1:26" ht="18" customHeight="1" x14ac:dyDescent="0.2">
      <c r="A2392" s="279">
        <f t="shared" si="2588"/>
        <v>45243</v>
      </c>
      <c r="B2392" s="280" t="s">
        <v>191</v>
      </c>
      <c r="C2392" s="197"/>
      <c r="D2392" s="197"/>
      <c r="E2392" s="197"/>
      <c r="F2392" s="197"/>
      <c r="G2392" s="198"/>
      <c r="H2392" s="199"/>
      <c r="I2392" s="199"/>
      <c r="J2392" s="200"/>
      <c r="K2392" s="201"/>
      <c r="L2392" s="276"/>
      <c r="M2392" s="276"/>
      <c r="N2392" s="235"/>
      <c r="O2392" s="235"/>
      <c r="P2392" s="235"/>
      <c r="Q2392" s="235"/>
      <c r="R2392" s="235"/>
      <c r="S2392" s="236"/>
      <c r="T2392" s="236"/>
      <c r="U2392" s="236"/>
      <c r="V2392" s="235"/>
      <c r="W2392" s="235"/>
      <c r="X2392" s="235"/>
      <c r="Y2392" s="235"/>
      <c r="Z2392" s="235"/>
    </row>
    <row r="2393" spans="1:26" ht="18" customHeight="1" x14ac:dyDescent="0.2">
      <c r="A2393" s="279">
        <f t="shared" si="2588"/>
        <v>45244</v>
      </c>
      <c r="B2393" s="280" t="s">
        <v>192</v>
      </c>
      <c r="C2393" s="197"/>
      <c r="D2393" s="197"/>
      <c r="E2393" s="197"/>
      <c r="F2393" s="197"/>
      <c r="G2393" s="198"/>
      <c r="H2393" s="199"/>
      <c r="I2393" s="199"/>
      <c r="J2393" s="200"/>
      <c r="K2393" s="201"/>
      <c r="L2393" s="276"/>
      <c r="M2393" s="276"/>
      <c r="N2393" s="235"/>
      <c r="O2393" s="235"/>
      <c r="P2393" s="235"/>
      <c r="Q2393" s="235"/>
      <c r="R2393" s="235"/>
      <c r="S2393" s="236"/>
      <c r="T2393" s="236"/>
      <c r="U2393" s="236"/>
      <c r="V2393" s="235"/>
      <c r="W2393" s="235"/>
      <c r="X2393" s="235"/>
      <c r="Y2393" s="235"/>
      <c r="Z2393" s="235"/>
    </row>
    <row r="2394" spans="1:26" ht="18" customHeight="1" x14ac:dyDescent="0.2">
      <c r="A2394" s="279">
        <f t="shared" si="2588"/>
        <v>45245</v>
      </c>
      <c r="B2394" s="280" t="s">
        <v>193</v>
      </c>
      <c r="C2394" s="197"/>
      <c r="D2394" s="197"/>
      <c r="E2394" s="197"/>
      <c r="F2394" s="197"/>
      <c r="G2394" s="198"/>
      <c r="H2394" s="199"/>
      <c r="I2394" s="199"/>
      <c r="J2394" s="200"/>
      <c r="K2394" s="201"/>
      <c r="L2394" s="276"/>
      <c r="M2394" s="276"/>
      <c r="N2394" s="235"/>
      <c r="O2394" s="235"/>
      <c r="P2394" s="235"/>
      <c r="Q2394" s="235"/>
      <c r="R2394" s="235"/>
      <c r="S2394" s="236"/>
      <c r="T2394" s="236"/>
      <c r="U2394" s="236"/>
      <c r="V2394" s="235"/>
      <c r="W2394" s="235"/>
      <c r="X2394" s="235"/>
      <c r="Y2394" s="235"/>
      <c r="Z2394" s="235"/>
    </row>
    <row r="2395" spans="1:26" ht="18" customHeight="1" x14ac:dyDescent="0.2">
      <c r="A2395" s="279">
        <f t="shared" si="2588"/>
        <v>45246</v>
      </c>
      <c r="B2395" s="280" t="s">
        <v>194</v>
      </c>
      <c r="C2395" s="197"/>
      <c r="D2395" s="197"/>
      <c r="E2395" s="197"/>
      <c r="F2395" s="197"/>
      <c r="G2395" s="198"/>
      <c r="H2395" s="199"/>
      <c r="I2395" s="199"/>
      <c r="J2395" s="200"/>
      <c r="K2395" s="201"/>
      <c r="L2395" s="276"/>
      <c r="M2395" s="276"/>
      <c r="N2395" s="235"/>
      <c r="O2395" s="235"/>
      <c r="P2395" s="235"/>
      <c r="Q2395" s="235"/>
      <c r="R2395" s="235"/>
      <c r="S2395" s="236"/>
      <c r="T2395" s="236"/>
      <c r="U2395" s="236"/>
      <c r="V2395" s="235"/>
      <c r="W2395" s="235"/>
      <c r="X2395" s="235"/>
      <c r="Y2395" s="235"/>
      <c r="Z2395" s="235"/>
    </row>
    <row r="2396" spans="1:26" ht="18" customHeight="1" x14ac:dyDescent="0.2">
      <c r="A2396" s="279">
        <f t="shared" si="2588"/>
        <v>45247</v>
      </c>
      <c r="B2396" s="278" t="s">
        <v>189</v>
      </c>
      <c r="C2396" s="197"/>
      <c r="D2396" s="197"/>
      <c r="E2396" s="197"/>
      <c r="F2396" s="197"/>
      <c r="G2396" s="198"/>
      <c r="H2396" s="199"/>
      <c r="I2396" s="199"/>
      <c r="J2396" s="200"/>
      <c r="K2396" s="201"/>
      <c r="L2396" s="276"/>
      <c r="M2396" s="276"/>
      <c r="N2396" s="235"/>
      <c r="O2396" s="235"/>
      <c r="P2396" s="235"/>
      <c r="Q2396" s="235"/>
      <c r="R2396" s="235"/>
      <c r="S2396" s="236"/>
      <c r="T2396" s="236"/>
      <c r="U2396" s="236"/>
      <c r="V2396" s="235"/>
      <c r="W2396" s="235"/>
      <c r="X2396" s="235"/>
      <c r="Y2396" s="235"/>
      <c r="Z2396" s="235"/>
    </row>
    <row r="2397" spans="1:26" ht="18" customHeight="1" x14ac:dyDescent="0.2">
      <c r="A2397" s="279">
        <f t="shared" si="2588"/>
        <v>45248</v>
      </c>
      <c r="B2397" s="279" t="s">
        <v>195</v>
      </c>
      <c r="C2397" s="197"/>
      <c r="D2397" s="197"/>
      <c r="E2397" s="197"/>
      <c r="F2397" s="197"/>
      <c r="G2397" s="198"/>
      <c r="H2397" s="199"/>
      <c r="I2397" s="199"/>
      <c r="J2397" s="200"/>
      <c r="K2397" s="201"/>
      <c r="L2397" s="276"/>
      <c r="M2397" s="276"/>
      <c r="N2397" s="235"/>
      <c r="O2397" s="235"/>
      <c r="P2397" s="235"/>
      <c r="Q2397" s="235"/>
      <c r="R2397" s="235"/>
      <c r="S2397" s="236"/>
      <c r="T2397" s="236"/>
      <c r="U2397" s="236"/>
      <c r="V2397" s="235"/>
      <c r="W2397" s="235"/>
      <c r="X2397" s="235"/>
      <c r="Y2397" s="235"/>
      <c r="Z2397" s="235"/>
    </row>
    <row r="2398" spans="1:26" ht="18" customHeight="1" x14ac:dyDescent="0.2">
      <c r="A2398" s="279">
        <f t="shared" si="2588"/>
        <v>45249</v>
      </c>
      <c r="B2398" s="278" t="s">
        <v>190</v>
      </c>
      <c r="C2398" s="197"/>
      <c r="D2398" s="197"/>
      <c r="E2398" s="197"/>
      <c r="F2398" s="197"/>
      <c r="G2398" s="198"/>
      <c r="H2398" s="199"/>
      <c r="I2398" s="199"/>
      <c r="J2398" s="200"/>
      <c r="K2398" s="201"/>
      <c r="L2398" s="276"/>
      <c r="M2398" s="276"/>
      <c r="N2398" s="235"/>
      <c r="O2398" s="235"/>
      <c r="P2398" s="235"/>
      <c r="Q2398" s="235"/>
      <c r="R2398" s="235"/>
      <c r="S2398" s="236"/>
      <c r="T2398" s="236"/>
      <c r="U2398" s="236"/>
      <c r="V2398" s="235"/>
      <c r="W2398" s="235"/>
      <c r="X2398" s="235"/>
      <c r="Y2398" s="235"/>
      <c r="Z2398" s="235"/>
    </row>
    <row r="2399" spans="1:26" ht="18" customHeight="1" x14ac:dyDescent="0.2">
      <c r="A2399" s="279">
        <f t="shared" si="2588"/>
        <v>45250</v>
      </c>
      <c r="B2399" s="280" t="s">
        <v>191</v>
      </c>
      <c r="C2399" s="197"/>
      <c r="D2399" s="197"/>
      <c r="E2399" s="197"/>
      <c r="F2399" s="197"/>
      <c r="G2399" s="198"/>
      <c r="H2399" s="199"/>
      <c r="I2399" s="199"/>
      <c r="J2399" s="200"/>
      <c r="K2399" s="201"/>
      <c r="L2399" s="276"/>
      <c r="M2399" s="276"/>
      <c r="N2399" s="235"/>
      <c r="O2399" s="235"/>
      <c r="P2399" s="235"/>
      <c r="Q2399" s="235"/>
      <c r="R2399" s="235"/>
      <c r="S2399" s="236"/>
      <c r="T2399" s="236"/>
      <c r="U2399" s="236"/>
      <c r="V2399" s="235"/>
      <c r="W2399" s="235"/>
      <c r="X2399" s="235"/>
      <c r="Y2399" s="235"/>
      <c r="Z2399" s="235"/>
    </row>
    <row r="2400" spans="1:26" ht="18" customHeight="1" x14ac:dyDescent="0.2">
      <c r="A2400" s="279">
        <f t="shared" si="2588"/>
        <v>45251</v>
      </c>
      <c r="B2400" s="280" t="s">
        <v>192</v>
      </c>
      <c r="C2400" s="197"/>
      <c r="D2400" s="197"/>
      <c r="E2400" s="197"/>
      <c r="F2400" s="197"/>
      <c r="G2400" s="198"/>
      <c r="H2400" s="199"/>
      <c r="I2400" s="199"/>
      <c r="J2400" s="200"/>
      <c r="K2400" s="201"/>
      <c r="L2400" s="276"/>
      <c r="M2400" s="276"/>
      <c r="N2400" s="235"/>
      <c r="O2400" s="235"/>
      <c r="P2400" s="235"/>
      <c r="Q2400" s="235"/>
      <c r="R2400" s="235"/>
      <c r="S2400" s="236"/>
      <c r="T2400" s="236"/>
      <c r="U2400" s="236"/>
      <c r="V2400" s="235"/>
      <c r="W2400" s="235"/>
      <c r="X2400" s="235"/>
      <c r="Y2400" s="235"/>
      <c r="Z2400" s="235"/>
    </row>
    <row r="2401" spans="1:26" ht="18" customHeight="1" x14ac:dyDescent="0.2">
      <c r="A2401" s="279">
        <f t="shared" si="2588"/>
        <v>45252</v>
      </c>
      <c r="B2401" s="280" t="s">
        <v>193</v>
      </c>
      <c r="C2401" s="197"/>
      <c r="D2401" s="197"/>
      <c r="E2401" s="197"/>
      <c r="F2401" s="197"/>
      <c r="G2401" s="198"/>
      <c r="H2401" s="199"/>
      <c r="I2401" s="199"/>
      <c r="J2401" s="200"/>
      <c r="K2401" s="201"/>
      <c r="L2401" s="276"/>
      <c r="M2401" s="276"/>
      <c r="N2401" s="235"/>
      <c r="O2401" s="235"/>
      <c r="P2401" s="235"/>
      <c r="Q2401" s="235"/>
      <c r="R2401" s="235"/>
      <c r="S2401" s="236"/>
      <c r="T2401" s="236"/>
      <c r="U2401" s="236"/>
      <c r="V2401" s="235"/>
      <c r="W2401" s="235"/>
      <c r="X2401" s="235"/>
      <c r="Y2401" s="235"/>
      <c r="Z2401" s="235"/>
    </row>
    <row r="2402" spans="1:26" ht="18" customHeight="1" x14ac:dyDescent="0.2">
      <c r="A2402" s="279">
        <f t="shared" si="2588"/>
        <v>45253</v>
      </c>
      <c r="B2402" s="280" t="s">
        <v>194</v>
      </c>
      <c r="C2402" s="197"/>
      <c r="D2402" s="197"/>
      <c r="E2402" s="197"/>
      <c r="F2402" s="197"/>
      <c r="G2402" s="198"/>
      <c r="H2402" s="199"/>
      <c r="I2402" s="199"/>
      <c r="J2402" s="200"/>
      <c r="K2402" s="201"/>
      <c r="L2402" s="276"/>
      <c r="M2402" s="276"/>
      <c r="N2402" s="235"/>
      <c r="O2402" s="235"/>
      <c r="P2402" s="235"/>
      <c r="Q2402" s="235"/>
      <c r="R2402" s="235"/>
      <c r="S2402" s="236"/>
      <c r="T2402" s="236"/>
      <c r="U2402" s="236"/>
      <c r="V2402" s="235"/>
      <c r="W2402" s="235"/>
      <c r="X2402" s="235"/>
      <c r="Y2402" s="235"/>
      <c r="Z2402" s="235"/>
    </row>
    <row r="2403" spans="1:26" ht="18" customHeight="1" x14ac:dyDescent="0.2">
      <c r="A2403" s="279">
        <f t="shared" si="2588"/>
        <v>45254</v>
      </c>
      <c r="B2403" s="278" t="s">
        <v>189</v>
      </c>
      <c r="C2403" s="197"/>
      <c r="D2403" s="197"/>
      <c r="E2403" s="197"/>
      <c r="F2403" s="197"/>
      <c r="G2403" s="198"/>
      <c r="H2403" s="199"/>
      <c r="I2403" s="199"/>
      <c r="J2403" s="200"/>
      <c r="K2403" s="201"/>
      <c r="L2403" s="276"/>
      <c r="M2403" s="276"/>
      <c r="N2403" s="235"/>
      <c r="O2403" s="235"/>
      <c r="P2403" s="235"/>
      <c r="Q2403" s="235"/>
      <c r="R2403" s="235"/>
      <c r="S2403" s="236"/>
      <c r="T2403" s="236"/>
      <c r="U2403" s="236"/>
      <c r="V2403" s="235"/>
      <c r="W2403" s="235"/>
      <c r="X2403" s="235"/>
      <c r="Y2403" s="235"/>
      <c r="Z2403" s="235"/>
    </row>
    <row r="2404" spans="1:26" ht="18" customHeight="1" x14ac:dyDescent="0.2">
      <c r="A2404" s="279">
        <f t="shared" si="2588"/>
        <v>45255</v>
      </c>
      <c r="B2404" s="279" t="s">
        <v>195</v>
      </c>
      <c r="C2404" s="197"/>
      <c r="D2404" s="197"/>
      <c r="E2404" s="197"/>
      <c r="F2404" s="197"/>
      <c r="G2404" s="198"/>
      <c r="H2404" s="199"/>
      <c r="I2404" s="199"/>
      <c r="J2404" s="200"/>
      <c r="K2404" s="201"/>
      <c r="L2404" s="276"/>
      <c r="M2404" s="276"/>
      <c r="N2404" s="235"/>
      <c r="O2404" s="235"/>
      <c r="P2404" s="235"/>
      <c r="Q2404" s="235"/>
      <c r="R2404" s="235"/>
      <c r="S2404" s="236"/>
      <c r="T2404" s="236"/>
      <c r="U2404" s="236"/>
      <c r="V2404" s="235"/>
      <c r="W2404" s="235"/>
      <c r="X2404" s="235"/>
      <c r="Y2404" s="235"/>
      <c r="Z2404" s="235"/>
    </row>
    <row r="2405" spans="1:26" ht="18" customHeight="1" x14ac:dyDescent="0.2">
      <c r="A2405" s="279">
        <f t="shared" si="2588"/>
        <v>45256</v>
      </c>
      <c r="B2405" s="278" t="s">
        <v>190</v>
      </c>
      <c r="C2405" s="197"/>
      <c r="D2405" s="197"/>
      <c r="E2405" s="197"/>
      <c r="F2405" s="197"/>
      <c r="G2405" s="198"/>
      <c r="H2405" s="199"/>
      <c r="I2405" s="199"/>
      <c r="J2405" s="200"/>
      <c r="K2405" s="201"/>
      <c r="L2405" s="276"/>
      <c r="M2405" s="276"/>
      <c r="N2405" s="235"/>
      <c r="O2405" s="235"/>
      <c r="P2405" s="235"/>
      <c r="Q2405" s="235"/>
      <c r="R2405" s="235"/>
      <c r="S2405" s="236"/>
      <c r="T2405" s="236"/>
      <c r="U2405" s="236"/>
      <c r="V2405" s="235"/>
      <c r="W2405" s="235"/>
      <c r="X2405" s="235"/>
      <c r="Y2405" s="235"/>
      <c r="Z2405" s="235"/>
    </row>
    <row r="2406" spans="1:26" ht="18" customHeight="1" x14ac:dyDescent="0.2">
      <c r="A2406" s="279">
        <f t="shared" si="2588"/>
        <v>45257</v>
      </c>
      <c r="B2406" s="280" t="s">
        <v>191</v>
      </c>
      <c r="C2406" s="197"/>
      <c r="D2406" s="197"/>
      <c r="E2406" s="197"/>
      <c r="F2406" s="197"/>
      <c r="G2406" s="198"/>
      <c r="H2406" s="199"/>
      <c r="I2406" s="199"/>
      <c r="J2406" s="200"/>
      <c r="K2406" s="201"/>
      <c r="L2406" s="276"/>
      <c r="M2406" s="276"/>
      <c r="N2406" s="235"/>
      <c r="O2406" s="235"/>
      <c r="P2406" s="235"/>
      <c r="Q2406" s="235"/>
      <c r="R2406" s="235"/>
      <c r="S2406" s="236"/>
      <c r="T2406" s="236"/>
      <c r="U2406" s="236"/>
      <c r="V2406" s="235"/>
      <c r="W2406" s="235"/>
      <c r="X2406" s="235"/>
      <c r="Y2406" s="235"/>
      <c r="Z2406" s="235"/>
    </row>
    <row r="2407" spans="1:26" ht="18" customHeight="1" x14ac:dyDescent="0.2">
      <c r="A2407" s="279">
        <f t="shared" si="2588"/>
        <v>45258</v>
      </c>
      <c r="B2407" s="280" t="s">
        <v>192</v>
      </c>
      <c r="C2407" s="197"/>
      <c r="D2407" s="197"/>
      <c r="E2407" s="197"/>
      <c r="F2407" s="197"/>
      <c r="G2407" s="198"/>
      <c r="H2407" s="199"/>
      <c r="I2407" s="199"/>
      <c r="J2407" s="200"/>
      <c r="K2407" s="201"/>
      <c r="L2407" s="276"/>
      <c r="M2407" s="276"/>
      <c r="N2407" s="235"/>
      <c r="O2407" s="235"/>
      <c r="P2407" s="235"/>
      <c r="Q2407" s="235"/>
      <c r="R2407" s="235"/>
      <c r="S2407" s="236"/>
      <c r="T2407" s="236"/>
      <c r="U2407" s="236"/>
      <c r="V2407" s="235"/>
      <c r="W2407" s="235"/>
      <c r="X2407" s="235"/>
      <c r="Y2407" s="235"/>
      <c r="Z2407" s="235"/>
    </row>
    <row r="2408" spans="1:26" ht="18" customHeight="1" x14ac:dyDescent="0.2">
      <c r="A2408" s="279">
        <f t="shared" ref="A2408:A2471" si="2589">A2407+1</f>
        <v>45259</v>
      </c>
      <c r="B2408" s="280" t="s">
        <v>193</v>
      </c>
      <c r="C2408" s="197"/>
      <c r="D2408" s="197"/>
      <c r="E2408" s="197"/>
      <c r="F2408" s="197"/>
      <c r="G2408" s="198"/>
      <c r="H2408" s="199"/>
      <c r="I2408" s="199"/>
      <c r="J2408" s="200"/>
      <c r="K2408" s="201"/>
      <c r="L2408" s="276"/>
      <c r="M2408" s="276"/>
      <c r="N2408" s="235"/>
      <c r="O2408" s="235"/>
      <c r="P2408" s="235"/>
      <c r="Q2408" s="235"/>
      <c r="R2408" s="235"/>
      <c r="S2408" s="236"/>
      <c r="T2408" s="236"/>
      <c r="U2408" s="236"/>
      <c r="V2408" s="235"/>
      <c r="W2408" s="235"/>
      <c r="X2408" s="235"/>
      <c r="Y2408" s="235"/>
      <c r="Z2408" s="235"/>
    </row>
    <row r="2409" spans="1:26" ht="18" customHeight="1" x14ac:dyDescent="0.2">
      <c r="A2409" s="279">
        <f t="shared" si="2589"/>
        <v>45260</v>
      </c>
      <c r="B2409" s="280" t="s">
        <v>194</v>
      </c>
      <c r="C2409" s="197"/>
      <c r="D2409" s="197"/>
      <c r="E2409" s="197"/>
      <c r="F2409" s="197"/>
      <c r="G2409" s="198"/>
      <c r="H2409" s="199"/>
      <c r="I2409" s="199"/>
      <c r="J2409" s="200"/>
      <c r="K2409" s="201"/>
      <c r="L2409" s="276"/>
      <c r="M2409" s="276"/>
      <c r="N2409" s="235"/>
      <c r="O2409" s="235"/>
      <c r="P2409" s="235"/>
      <c r="Q2409" s="235"/>
      <c r="R2409" s="235"/>
      <c r="S2409" s="236"/>
      <c r="T2409" s="236"/>
      <c r="U2409" s="236"/>
      <c r="V2409" s="235"/>
      <c r="W2409" s="235"/>
      <c r="X2409" s="235"/>
      <c r="Y2409" s="235"/>
      <c r="Z2409" s="235"/>
    </row>
    <row r="2410" spans="1:26" ht="18" customHeight="1" x14ac:dyDescent="0.2">
      <c r="A2410" s="279">
        <f t="shared" si="2589"/>
        <v>45261</v>
      </c>
      <c r="B2410" s="278" t="s">
        <v>189</v>
      </c>
      <c r="C2410" s="197"/>
      <c r="D2410" s="197"/>
      <c r="E2410" s="197"/>
      <c r="F2410" s="197"/>
      <c r="G2410" s="198"/>
      <c r="H2410" s="199"/>
      <c r="I2410" s="199"/>
      <c r="J2410" s="200"/>
      <c r="K2410" s="201"/>
      <c r="L2410" s="276"/>
      <c r="M2410" s="276"/>
      <c r="N2410" s="235"/>
      <c r="O2410" s="235"/>
      <c r="P2410" s="235"/>
      <c r="Q2410" s="235"/>
      <c r="R2410" s="235"/>
      <c r="S2410" s="236"/>
      <c r="T2410" s="236"/>
      <c r="U2410" s="236"/>
      <c r="V2410" s="235"/>
      <c r="W2410" s="235"/>
      <c r="X2410" s="235"/>
      <c r="Y2410" s="235"/>
      <c r="Z2410" s="235"/>
    </row>
    <row r="2411" spans="1:26" ht="18" customHeight="1" x14ac:dyDescent="0.2">
      <c r="A2411" s="279">
        <f t="shared" si="2589"/>
        <v>45262</v>
      </c>
      <c r="B2411" s="279" t="s">
        <v>195</v>
      </c>
      <c r="C2411" s="197"/>
      <c r="D2411" s="197"/>
      <c r="E2411" s="197"/>
      <c r="F2411" s="197"/>
      <c r="G2411" s="198"/>
      <c r="H2411" s="199"/>
      <c r="I2411" s="199"/>
      <c r="J2411" s="200"/>
      <c r="K2411" s="201"/>
      <c r="L2411" s="276"/>
      <c r="M2411" s="276"/>
      <c r="N2411" s="235"/>
      <c r="O2411" s="235"/>
      <c r="P2411" s="235"/>
      <c r="Q2411" s="235"/>
      <c r="R2411" s="235"/>
      <c r="S2411" s="236"/>
      <c r="T2411" s="236"/>
      <c r="U2411" s="236"/>
      <c r="V2411" s="235"/>
      <c r="W2411" s="235"/>
      <c r="X2411" s="235"/>
      <c r="Y2411" s="235"/>
      <c r="Z2411" s="235"/>
    </row>
    <row r="2412" spans="1:26" ht="18" customHeight="1" x14ac:dyDescent="0.2">
      <c r="A2412" s="279">
        <f t="shared" si="2589"/>
        <v>45263</v>
      </c>
      <c r="B2412" s="278" t="s">
        <v>190</v>
      </c>
      <c r="C2412" s="197"/>
      <c r="D2412" s="197"/>
      <c r="E2412" s="197"/>
      <c r="F2412" s="197"/>
      <c r="G2412" s="198"/>
      <c r="H2412" s="199"/>
      <c r="I2412" s="199"/>
      <c r="J2412" s="200"/>
      <c r="K2412" s="201"/>
      <c r="L2412" s="276"/>
      <c r="M2412" s="276"/>
      <c r="N2412" s="235"/>
      <c r="O2412" s="235"/>
      <c r="P2412" s="235"/>
      <c r="Q2412" s="235"/>
      <c r="R2412" s="235"/>
      <c r="S2412" s="236"/>
      <c r="T2412" s="236"/>
      <c r="U2412" s="236"/>
      <c r="V2412" s="235"/>
      <c r="W2412" s="235"/>
      <c r="X2412" s="235"/>
      <c r="Y2412" s="235"/>
      <c r="Z2412" s="235"/>
    </row>
    <row r="2413" spans="1:26" ht="18" customHeight="1" x14ac:dyDescent="0.2">
      <c r="A2413" s="279">
        <f t="shared" si="2589"/>
        <v>45264</v>
      </c>
      <c r="B2413" s="280" t="s">
        <v>191</v>
      </c>
      <c r="C2413" s="197"/>
      <c r="D2413" s="197"/>
      <c r="E2413" s="197"/>
      <c r="F2413" s="197"/>
      <c r="G2413" s="198"/>
      <c r="H2413" s="199"/>
      <c r="I2413" s="199"/>
      <c r="J2413" s="200"/>
      <c r="K2413" s="201"/>
      <c r="L2413" s="276"/>
      <c r="M2413" s="276"/>
      <c r="N2413" s="235"/>
      <c r="O2413" s="235"/>
      <c r="P2413" s="235"/>
      <c r="Q2413" s="235"/>
      <c r="R2413" s="235"/>
      <c r="S2413" s="236"/>
      <c r="T2413" s="236"/>
      <c r="U2413" s="236"/>
      <c r="V2413" s="235"/>
      <c r="W2413" s="235"/>
      <c r="X2413" s="235"/>
      <c r="Y2413" s="235"/>
      <c r="Z2413" s="235"/>
    </row>
    <row r="2414" spans="1:26" ht="18" customHeight="1" x14ac:dyDescent="0.2">
      <c r="A2414" s="279">
        <f t="shared" si="2589"/>
        <v>45265</v>
      </c>
      <c r="B2414" s="280" t="s">
        <v>192</v>
      </c>
      <c r="C2414" s="197"/>
      <c r="D2414" s="197"/>
      <c r="E2414" s="197"/>
      <c r="F2414" s="197"/>
      <c r="G2414" s="198"/>
      <c r="H2414" s="199"/>
      <c r="I2414" s="199"/>
      <c r="J2414" s="200"/>
      <c r="K2414" s="201"/>
      <c r="L2414" s="276"/>
      <c r="M2414" s="276"/>
      <c r="N2414" s="235"/>
      <c r="O2414" s="235"/>
      <c r="P2414" s="235"/>
      <c r="Q2414" s="235"/>
      <c r="R2414" s="235"/>
      <c r="S2414" s="236"/>
      <c r="T2414" s="236"/>
      <c r="U2414" s="236"/>
      <c r="V2414" s="235"/>
      <c r="W2414" s="235"/>
      <c r="X2414" s="235"/>
      <c r="Y2414" s="235"/>
      <c r="Z2414" s="235"/>
    </row>
    <row r="2415" spans="1:26" ht="18" customHeight="1" x14ac:dyDescent="0.2">
      <c r="A2415" s="279">
        <f t="shared" si="2589"/>
        <v>45266</v>
      </c>
      <c r="B2415" s="280" t="s">
        <v>193</v>
      </c>
      <c r="C2415" s="197"/>
      <c r="D2415" s="197"/>
      <c r="E2415" s="197"/>
      <c r="F2415" s="197"/>
      <c r="G2415" s="198"/>
      <c r="H2415" s="199"/>
      <c r="I2415" s="199"/>
      <c r="J2415" s="200"/>
      <c r="K2415" s="201"/>
      <c r="L2415" s="276"/>
      <c r="M2415" s="276"/>
      <c r="N2415" s="235"/>
      <c r="O2415" s="235"/>
      <c r="P2415" s="235"/>
      <c r="Q2415" s="235"/>
      <c r="R2415" s="235"/>
      <c r="S2415" s="236"/>
      <c r="T2415" s="236"/>
      <c r="U2415" s="236"/>
      <c r="V2415" s="235"/>
      <c r="W2415" s="235"/>
      <c r="X2415" s="235"/>
      <c r="Y2415" s="235"/>
      <c r="Z2415" s="235"/>
    </row>
    <row r="2416" spans="1:26" ht="18" customHeight="1" x14ac:dyDescent="0.2">
      <c r="A2416" s="279">
        <f t="shared" si="2589"/>
        <v>45267</v>
      </c>
      <c r="B2416" s="280" t="s">
        <v>194</v>
      </c>
      <c r="C2416" s="197"/>
      <c r="D2416" s="197"/>
      <c r="E2416" s="197"/>
      <c r="F2416" s="197"/>
      <c r="G2416" s="198"/>
      <c r="H2416" s="199"/>
      <c r="I2416" s="199"/>
      <c r="J2416" s="200"/>
      <c r="K2416" s="201"/>
      <c r="L2416" s="276"/>
      <c r="M2416" s="276"/>
      <c r="N2416" s="235"/>
      <c r="O2416" s="235"/>
      <c r="P2416" s="235"/>
      <c r="Q2416" s="235"/>
      <c r="R2416" s="235"/>
      <c r="S2416" s="236"/>
      <c r="T2416" s="236"/>
      <c r="U2416" s="236"/>
      <c r="V2416" s="235"/>
      <c r="W2416" s="235"/>
      <c r="X2416" s="235"/>
      <c r="Y2416" s="235"/>
      <c r="Z2416" s="235"/>
    </row>
    <row r="2417" spans="1:26" ht="18" customHeight="1" x14ac:dyDescent="0.2">
      <c r="A2417" s="279">
        <f t="shared" si="2589"/>
        <v>45268</v>
      </c>
      <c r="B2417" s="278" t="s">
        <v>189</v>
      </c>
      <c r="C2417" s="197"/>
      <c r="D2417" s="197"/>
      <c r="E2417" s="197"/>
      <c r="F2417" s="197"/>
      <c r="G2417" s="198"/>
      <c r="H2417" s="199"/>
      <c r="I2417" s="199"/>
      <c r="J2417" s="200"/>
      <c r="K2417" s="201"/>
      <c r="L2417" s="276"/>
      <c r="M2417" s="276"/>
      <c r="N2417" s="235"/>
      <c r="O2417" s="235"/>
      <c r="P2417" s="235"/>
      <c r="Q2417" s="235"/>
      <c r="R2417" s="235"/>
      <c r="S2417" s="236"/>
      <c r="T2417" s="236"/>
      <c r="U2417" s="236"/>
      <c r="V2417" s="235"/>
      <c r="W2417" s="235"/>
      <c r="X2417" s="235"/>
      <c r="Y2417" s="235"/>
      <c r="Z2417" s="235"/>
    </row>
    <row r="2418" spans="1:26" ht="18" customHeight="1" x14ac:dyDescent="0.2">
      <c r="A2418" s="279">
        <f t="shared" si="2589"/>
        <v>45269</v>
      </c>
      <c r="B2418" s="279" t="s">
        <v>195</v>
      </c>
      <c r="C2418" s="197"/>
      <c r="D2418" s="197"/>
      <c r="E2418" s="197"/>
      <c r="F2418" s="197"/>
      <c r="G2418" s="198"/>
      <c r="H2418" s="199"/>
      <c r="I2418" s="199"/>
      <c r="J2418" s="200"/>
      <c r="K2418" s="201"/>
      <c r="L2418" s="276"/>
      <c r="M2418" s="276"/>
      <c r="N2418" s="235"/>
      <c r="O2418" s="235"/>
      <c r="P2418" s="235"/>
      <c r="Q2418" s="235"/>
      <c r="R2418" s="235"/>
      <c r="S2418" s="236"/>
      <c r="T2418" s="236"/>
      <c r="U2418" s="236"/>
      <c r="V2418" s="235"/>
      <c r="W2418" s="235"/>
      <c r="X2418" s="235"/>
      <c r="Y2418" s="235"/>
      <c r="Z2418" s="235"/>
    </row>
    <row r="2419" spans="1:26" ht="18" customHeight="1" x14ac:dyDescent="0.2">
      <c r="A2419" s="279">
        <f t="shared" si="2589"/>
        <v>45270</v>
      </c>
      <c r="B2419" s="278" t="s">
        <v>190</v>
      </c>
      <c r="C2419" s="197"/>
      <c r="D2419" s="197"/>
      <c r="E2419" s="197"/>
      <c r="F2419" s="197"/>
      <c r="G2419" s="198"/>
      <c r="H2419" s="199"/>
      <c r="I2419" s="199"/>
      <c r="J2419" s="200"/>
      <c r="K2419" s="201"/>
      <c r="L2419" s="276"/>
      <c r="M2419" s="276"/>
      <c r="N2419" s="235"/>
      <c r="O2419" s="235"/>
      <c r="P2419" s="235"/>
      <c r="Q2419" s="235"/>
      <c r="R2419" s="235"/>
      <c r="S2419" s="236"/>
      <c r="T2419" s="236"/>
      <c r="U2419" s="236"/>
      <c r="V2419" s="235"/>
      <c r="W2419" s="235"/>
      <c r="X2419" s="235"/>
      <c r="Y2419" s="235"/>
      <c r="Z2419" s="235"/>
    </row>
    <row r="2420" spans="1:26" ht="18" customHeight="1" x14ac:dyDescent="0.2">
      <c r="A2420" s="279">
        <f t="shared" si="2589"/>
        <v>45271</v>
      </c>
      <c r="B2420" s="280" t="s">
        <v>191</v>
      </c>
      <c r="C2420" s="197"/>
      <c r="D2420" s="197"/>
      <c r="E2420" s="197"/>
      <c r="F2420" s="197"/>
      <c r="G2420" s="198"/>
      <c r="H2420" s="199"/>
      <c r="I2420" s="199"/>
      <c r="J2420" s="200"/>
      <c r="K2420" s="201"/>
      <c r="L2420" s="276"/>
      <c r="M2420" s="276"/>
      <c r="N2420" s="235"/>
      <c r="O2420" s="235"/>
      <c r="P2420" s="235"/>
      <c r="Q2420" s="235"/>
      <c r="R2420" s="235"/>
      <c r="S2420" s="236"/>
      <c r="T2420" s="236"/>
      <c r="U2420" s="236"/>
      <c r="V2420" s="235"/>
      <c r="W2420" s="235"/>
      <c r="X2420" s="235"/>
      <c r="Y2420" s="235"/>
      <c r="Z2420" s="235"/>
    </row>
    <row r="2421" spans="1:26" ht="18" customHeight="1" x14ac:dyDescent="0.2">
      <c r="A2421" s="279">
        <f t="shared" si="2589"/>
        <v>45272</v>
      </c>
      <c r="B2421" s="280" t="s">
        <v>192</v>
      </c>
      <c r="C2421" s="197"/>
      <c r="D2421" s="197"/>
      <c r="E2421" s="197"/>
      <c r="F2421" s="197"/>
      <c r="G2421" s="198"/>
      <c r="H2421" s="199"/>
      <c r="I2421" s="199"/>
      <c r="J2421" s="200"/>
      <c r="K2421" s="201"/>
      <c r="L2421" s="276"/>
      <c r="M2421" s="276"/>
      <c r="N2421" s="235"/>
      <c r="O2421" s="235"/>
      <c r="P2421" s="235"/>
      <c r="Q2421" s="235"/>
      <c r="R2421" s="235"/>
      <c r="S2421" s="236"/>
      <c r="T2421" s="236"/>
      <c r="U2421" s="236"/>
      <c r="V2421" s="235"/>
      <c r="W2421" s="235"/>
      <c r="X2421" s="235"/>
      <c r="Y2421" s="235"/>
      <c r="Z2421" s="235"/>
    </row>
    <row r="2422" spans="1:26" ht="18" customHeight="1" x14ac:dyDescent="0.2">
      <c r="A2422" s="279">
        <f t="shared" si="2589"/>
        <v>45273</v>
      </c>
      <c r="B2422" s="280" t="s">
        <v>193</v>
      </c>
      <c r="C2422" s="197"/>
      <c r="D2422" s="197"/>
      <c r="E2422" s="197"/>
      <c r="F2422" s="197"/>
      <c r="G2422" s="198"/>
      <c r="H2422" s="199"/>
      <c r="I2422" s="199"/>
      <c r="J2422" s="200"/>
      <c r="K2422" s="201"/>
      <c r="L2422" s="276"/>
      <c r="M2422" s="276"/>
      <c r="N2422" s="235"/>
      <c r="O2422" s="235"/>
      <c r="P2422" s="235"/>
      <c r="Q2422" s="235"/>
      <c r="R2422" s="235"/>
      <c r="S2422" s="236"/>
      <c r="T2422" s="236"/>
      <c r="U2422" s="236"/>
      <c r="V2422" s="235"/>
      <c r="W2422" s="235"/>
      <c r="X2422" s="235"/>
      <c r="Y2422" s="235"/>
      <c r="Z2422" s="235"/>
    </row>
    <row r="2423" spans="1:26" ht="18" customHeight="1" x14ac:dyDescent="0.2">
      <c r="A2423" s="279">
        <f t="shared" si="2589"/>
        <v>45274</v>
      </c>
      <c r="B2423" s="280" t="s">
        <v>194</v>
      </c>
      <c r="C2423" s="197"/>
      <c r="D2423" s="197"/>
      <c r="E2423" s="197"/>
      <c r="F2423" s="197"/>
      <c r="G2423" s="198"/>
      <c r="H2423" s="199"/>
      <c r="I2423" s="199"/>
      <c r="J2423" s="200"/>
      <c r="K2423" s="201"/>
      <c r="L2423" s="276"/>
      <c r="M2423" s="276"/>
      <c r="N2423" s="235"/>
      <c r="O2423" s="235"/>
      <c r="P2423" s="235"/>
      <c r="Q2423" s="235"/>
      <c r="R2423" s="235"/>
      <c r="S2423" s="236"/>
      <c r="T2423" s="236"/>
      <c r="U2423" s="236"/>
      <c r="V2423" s="235"/>
      <c r="W2423" s="235"/>
      <c r="X2423" s="235"/>
      <c r="Y2423" s="235"/>
      <c r="Z2423" s="235"/>
    </row>
    <row r="2424" spans="1:26" ht="18" customHeight="1" x14ac:dyDescent="0.2">
      <c r="A2424" s="279">
        <f t="shared" si="2589"/>
        <v>45275</v>
      </c>
      <c r="B2424" s="278" t="s">
        <v>189</v>
      </c>
      <c r="C2424" s="197"/>
      <c r="D2424" s="197"/>
      <c r="E2424" s="197"/>
      <c r="F2424" s="197"/>
      <c r="G2424" s="198"/>
      <c r="H2424" s="199"/>
      <c r="I2424" s="199"/>
      <c r="J2424" s="200"/>
      <c r="K2424" s="201"/>
      <c r="L2424" s="276"/>
      <c r="M2424" s="276"/>
      <c r="N2424" s="235"/>
      <c r="O2424" s="235"/>
      <c r="P2424" s="235"/>
      <c r="Q2424" s="235"/>
      <c r="R2424" s="235"/>
      <c r="S2424" s="236"/>
      <c r="T2424" s="236"/>
      <c r="U2424" s="236"/>
      <c r="V2424" s="235"/>
      <c r="W2424" s="235"/>
      <c r="X2424" s="235"/>
      <c r="Y2424" s="235"/>
      <c r="Z2424" s="235"/>
    </row>
    <row r="2425" spans="1:26" ht="18" customHeight="1" x14ac:dyDescent="0.2">
      <c r="A2425" s="279">
        <f t="shared" si="2589"/>
        <v>45276</v>
      </c>
      <c r="B2425" s="279" t="s">
        <v>195</v>
      </c>
      <c r="C2425" s="197"/>
      <c r="D2425" s="197"/>
      <c r="E2425" s="197"/>
      <c r="F2425" s="197"/>
      <c r="G2425" s="198"/>
      <c r="H2425" s="199"/>
      <c r="I2425" s="199"/>
      <c r="J2425" s="200"/>
      <c r="K2425" s="201"/>
      <c r="L2425" s="276"/>
      <c r="M2425" s="276"/>
      <c r="N2425" s="235"/>
      <c r="O2425" s="235"/>
      <c r="P2425" s="235"/>
      <c r="Q2425" s="235"/>
      <c r="R2425" s="235"/>
      <c r="S2425" s="236"/>
      <c r="T2425" s="236"/>
      <c r="U2425" s="236"/>
      <c r="V2425" s="235"/>
      <c r="W2425" s="235"/>
      <c r="X2425" s="235"/>
      <c r="Y2425" s="235"/>
      <c r="Z2425" s="235"/>
    </row>
    <row r="2426" spans="1:26" ht="18" customHeight="1" x14ac:dyDescent="0.2">
      <c r="A2426" s="279">
        <f t="shared" si="2589"/>
        <v>45277</v>
      </c>
      <c r="B2426" s="278" t="s">
        <v>190</v>
      </c>
      <c r="C2426" s="197"/>
      <c r="D2426" s="197"/>
      <c r="E2426" s="197"/>
      <c r="F2426" s="197"/>
      <c r="G2426" s="198"/>
      <c r="H2426" s="199"/>
      <c r="I2426" s="199"/>
      <c r="J2426" s="200"/>
      <c r="K2426" s="201"/>
      <c r="L2426" s="276"/>
      <c r="M2426" s="276"/>
      <c r="N2426" s="235"/>
      <c r="O2426" s="235"/>
      <c r="P2426" s="235"/>
      <c r="Q2426" s="235"/>
      <c r="R2426" s="235"/>
      <c r="S2426" s="236"/>
      <c r="T2426" s="236"/>
      <c r="U2426" s="236"/>
      <c r="V2426" s="235"/>
      <c r="W2426" s="235"/>
      <c r="X2426" s="235"/>
      <c r="Y2426" s="235"/>
      <c r="Z2426" s="235"/>
    </row>
    <row r="2427" spans="1:26" ht="18" customHeight="1" x14ac:dyDescent="0.2">
      <c r="A2427" s="279">
        <f t="shared" si="2589"/>
        <v>45278</v>
      </c>
      <c r="B2427" s="280" t="s">
        <v>191</v>
      </c>
      <c r="C2427" s="197"/>
      <c r="D2427" s="197"/>
      <c r="E2427" s="197"/>
      <c r="F2427" s="197"/>
      <c r="G2427" s="198"/>
      <c r="H2427" s="199"/>
      <c r="I2427" s="199"/>
      <c r="J2427" s="200"/>
      <c r="K2427" s="201"/>
      <c r="L2427" s="276"/>
      <c r="M2427" s="276"/>
      <c r="N2427" s="235"/>
      <c r="O2427" s="235"/>
      <c r="P2427" s="235"/>
      <c r="Q2427" s="235"/>
      <c r="R2427" s="235"/>
      <c r="S2427" s="236"/>
      <c r="T2427" s="236"/>
      <c r="U2427" s="236"/>
      <c r="V2427" s="235"/>
      <c r="W2427" s="235"/>
      <c r="X2427" s="235"/>
      <c r="Y2427" s="235"/>
      <c r="Z2427" s="235"/>
    </row>
    <row r="2428" spans="1:26" ht="18" customHeight="1" x14ac:dyDescent="0.2">
      <c r="A2428" s="279">
        <f t="shared" si="2589"/>
        <v>45279</v>
      </c>
      <c r="B2428" s="280" t="s">
        <v>192</v>
      </c>
      <c r="C2428" s="197"/>
      <c r="D2428" s="197"/>
      <c r="E2428" s="197"/>
      <c r="F2428" s="197"/>
      <c r="G2428" s="198"/>
      <c r="H2428" s="199"/>
      <c r="I2428" s="199"/>
      <c r="J2428" s="200"/>
      <c r="K2428" s="201"/>
      <c r="L2428" s="276"/>
      <c r="M2428" s="276"/>
      <c r="N2428" s="235"/>
      <c r="O2428" s="235"/>
      <c r="P2428" s="235"/>
      <c r="Q2428" s="235"/>
      <c r="R2428" s="235"/>
      <c r="S2428" s="236"/>
      <c r="T2428" s="236"/>
      <c r="U2428" s="236"/>
      <c r="V2428" s="235"/>
      <c r="W2428" s="235"/>
      <c r="X2428" s="235"/>
      <c r="Y2428" s="235"/>
      <c r="Z2428" s="235"/>
    </row>
    <row r="2429" spans="1:26" ht="18" customHeight="1" x14ac:dyDescent="0.2">
      <c r="A2429" s="279">
        <f t="shared" si="2589"/>
        <v>45280</v>
      </c>
      <c r="B2429" s="280" t="s">
        <v>193</v>
      </c>
      <c r="C2429" s="197"/>
      <c r="D2429" s="197"/>
      <c r="E2429" s="197"/>
      <c r="F2429" s="197"/>
      <c r="G2429" s="198"/>
      <c r="H2429" s="199"/>
      <c r="I2429" s="199"/>
      <c r="J2429" s="200"/>
      <c r="K2429" s="201"/>
      <c r="L2429" s="276"/>
      <c r="M2429" s="276"/>
      <c r="N2429" s="235"/>
      <c r="O2429" s="235"/>
      <c r="P2429" s="235"/>
      <c r="Q2429" s="235"/>
      <c r="R2429" s="235"/>
      <c r="S2429" s="236"/>
      <c r="T2429" s="236"/>
      <c r="U2429" s="236"/>
      <c r="V2429" s="235"/>
      <c r="W2429" s="235"/>
      <c r="X2429" s="235"/>
      <c r="Y2429" s="235"/>
      <c r="Z2429" s="235"/>
    </row>
    <row r="2430" spans="1:26" ht="18" customHeight="1" x14ac:dyDescent="0.2">
      <c r="A2430" s="279">
        <f t="shared" si="2589"/>
        <v>45281</v>
      </c>
      <c r="B2430" s="280" t="s">
        <v>194</v>
      </c>
      <c r="C2430" s="197"/>
      <c r="D2430" s="197"/>
      <c r="E2430" s="197"/>
      <c r="F2430" s="197"/>
      <c r="G2430" s="198"/>
      <c r="H2430" s="199"/>
      <c r="I2430" s="199"/>
      <c r="J2430" s="200"/>
      <c r="K2430" s="201"/>
      <c r="L2430" s="276"/>
      <c r="M2430" s="276"/>
      <c r="N2430" s="235"/>
      <c r="O2430" s="235"/>
      <c r="P2430" s="235"/>
      <c r="Q2430" s="235"/>
      <c r="R2430" s="235"/>
      <c r="S2430" s="236"/>
      <c r="T2430" s="236"/>
      <c r="U2430" s="236"/>
      <c r="V2430" s="235"/>
      <c r="W2430" s="235"/>
      <c r="X2430" s="235"/>
      <c r="Y2430" s="235"/>
      <c r="Z2430" s="235"/>
    </row>
    <row r="2431" spans="1:26" ht="18" customHeight="1" x14ac:dyDescent="0.2">
      <c r="A2431" s="279">
        <f t="shared" si="2589"/>
        <v>45282</v>
      </c>
      <c r="B2431" s="278" t="s">
        <v>189</v>
      </c>
      <c r="C2431" s="197"/>
      <c r="D2431" s="197"/>
      <c r="E2431" s="197"/>
      <c r="F2431" s="197"/>
      <c r="G2431" s="198"/>
      <c r="H2431" s="199"/>
      <c r="I2431" s="199"/>
      <c r="J2431" s="200"/>
      <c r="K2431" s="201"/>
      <c r="L2431" s="276"/>
      <c r="M2431" s="276"/>
      <c r="N2431" s="235"/>
      <c r="O2431" s="235"/>
      <c r="P2431" s="235"/>
      <c r="Q2431" s="235"/>
      <c r="R2431" s="235"/>
      <c r="S2431" s="236"/>
      <c r="T2431" s="236"/>
      <c r="U2431" s="236"/>
      <c r="V2431" s="235"/>
      <c r="W2431" s="235"/>
      <c r="X2431" s="235"/>
      <c r="Y2431" s="235"/>
      <c r="Z2431" s="235"/>
    </row>
    <row r="2432" spans="1:26" ht="18" customHeight="1" x14ac:dyDescent="0.2">
      <c r="A2432" s="279">
        <f t="shared" si="2589"/>
        <v>45283</v>
      </c>
      <c r="B2432" s="279" t="s">
        <v>195</v>
      </c>
      <c r="C2432" s="197"/>
      <c r="D2432" s="197"/>
      <c r="E2432" s="197"/>
      <c r="F2432" s="197"/>
      <c r="G2432" s="198"/>
      <c r="H2432" s="199"/>
      <c r="I2432" s="199"/>
      <c r="J2432" s="200"/>
      <c r="K2432" s="201"/>
      <c r="L2432" s="276"/>
      <c r="M2432" s="276"/>
      <c r="N2432" s="235"/>
      <c r="O2432" s="235"/>
      <c r="P2432" s="235"/>
      <c r="Q2432" s="235"/>
      <c r="R2432" s="235"/>
      <c r="S2432" s="236"/>
      <c r="T2432" s="236"/>
      <c r="U2432" s="236"/>
      <c r="V2432" s="235"/>
      <c r="W2432" s="235"/>
      <c r="X2432" s="235"/>
      <c r="Y2432" s="235"/>
      <c r="Z2432" s="235"/>
    </row>
    <row r="2433" spans="1:26" ht="18" customHeight="1" x14ac:dyDescent="0.2">
      <c r="A2433" s="279">
        <f t="shared" si="2589"/>
        <v>45284</v>
      </c>
      <c r="B2433" s="278" t="s">
        <v>190</v>
      </c>
      <c r="C2433" s="197"/>
      <c r="D2433" s="197"/>
      <c r="E2433" s="197"/>
      <c r="F2433" s="197"/>
      <c r="G2433" s="198"/>
      <c r="H2433" s="199"/>
      <c r="I2433" s="199"/>
      <c r="J2433" s="200"/>
      <c r="K2433" s="201"/>
      <c r="L2433" s="276"/>
      <c r="M2433" s="276"/>
      <c r="N2433" s="235"/>
      <c r="O2433" s="235"/>
      <c r="P2433" s="235"/>
      <c r="Q2433" s="235"/>
      <c r="R2433" s="235"/>
      <c r="S2433" s="236"/>
      <c r="T2433" s="236"/>
      <c r="U2433" s="236"/>
      <c r="V2433" s="235"/>
      <c r="W2433" s="235"/>
      <c r="X2433" s="235"/>
      <c r="Y2433" s="235"/>
      <c r="Z2433" s="235"/>
    </row>
    <row r="2434" spans="1:26" ht="18" customHeight="1" x14ac:dyDescent="0.2">
      <c r="A2434" s="279">
        <f t="shared" si="2589"/>
        <v>45285</v>
      </c>
      <c r="B2434" s="280" t="s">
        <v>191</v>
      </c>
      <c r="C2434" s="197"/>
      <c r="D2434" s="197"/>
      <c r="E2434" s="197"/>
      <c r="F2434" s="197"/>
      <c r="G2434" s="198"/>
      <c r="H2434" s="199"/>
      <c r="I2434" s="199"/>
      <c r="J2434" s="200"/>
      <c r="K2434" s="201"/>
      <c r="L2434" s="276"/>
      <c r="M2434" s="276"/>
      <c r="N2434" s="235"/>
      <c r="O2434" s="235"/>
      <c r="P2434" s="235"/>
      <c r="Q2434" s="235"/>
      <c r="R2434" s="235"/>
      <c r="S2434" s="236"/>
      <c r="T2434" s="236"/>
      <c r="U2434" s="236"/>
      <c r="V2434" s="235"/>
      <c r="W2434" s="235"/>
      <c r="X2434" s="235"/>
      <c r="Y2434" s="235"/>
      <c r="Z2434" s="235"/>
    </row>
    <row r="2435" spans="1:26" ht="18" customHeight="1" x14ac:dyDescent="0.2">
      <c r="A2435" s="279">
        <f t="shared" si="2589"/>
        <v>45286</v>
      </c>
      <c r="B2435" s="280" t="s">
        <v>192</v>
      </c>
      <c r="C2435" s="197"/>
      <c r="D2435" s="197"/>
      <c r="E2435" s="197"/>
      <c r="F2435" s="197"/>
      <c r="G2435" s="198"/>
      <c r="H2435" s="199"/>
      <c r="I2435" s="199"/>
      <c r="J2435" s="200"/>
      <c r="K2435" s="201"/>
      <c r="L2435" s="276"/>
      <c r="M2435" s="276"/>
      <c r="N2435" s="235"/>
      <c r="O2435" s="235"/>
      <c r="P2435" s="235"/>
      <c r="Q2435" s="235"/>
      <c r="R2435" s="235"/>
      <c r="S2435" s="236"/>
      <c r="T2435" s="236"/>
      <c r="U2435" s="236"/>
      <c r="V2435" s="235"/>
      <c r="W2435" s="235"/>
      <c r="X2435" s="235"/>
      <c r="Y2435" s="235"/>
      <c r="Z2435" s="235"/>
    </row>
    <row r="2436" spans="1:26" ht="18" customHeight="1" x14ac:dyDescent="0.2">
      <c r="A2436" s="279">
        <f t="shared" si="2589"/>
        <v>45287</v>
      </c>
      <c r="B2436" s="280" t="s">
        <v>193</v>
      </c>
      <c r="C2436" s="197"/>
      <c r="D2436" s="197"/>
      <c r="E2436" s="197"/>
      <c r="F2436" s="197"/>
      <c r="G2436" s="198"/>
      <c r="H2436" s="199"/>
      <c r="I2436" s="199"/>
      <c r="J2436" s="200"/>
      <c r="K2436" s="201"/>
      <c r="L2436" s="276"/>
      <c r="M2436" s="276"/>
      <c r="N2436" s="235"/>
      <c r="O2436" s="235"/>
      <c r="P2436" s="235"/>
      <c r="Q2436" s="235"/>
      <c r="R2436" s="235"/>
      <c r="S2436" s="236"/>
      <c r="T2436" s="236"/>
      <c r="U2436" s="236"/>
      <c r="V2436" s="235"/>
      <c r="W2436" s="235"/>
      <c r="X2436" s="235"/>
      <c r="Y2436" s="235"/>
      <c r="Z2436" s="235"/>
    </row>
    <row r="2437" spans="1:26" ht="18" customHeight="1" x14ac:dyDescent="0.2">
      <c r="A2437" s="279">
        <f t="shared" si="2589"/>
        <v>45288</v>
      </c>
      <c r="B2437" s="280" t="s">
        <v>194</v>
      </c>
      <c r="C2437" s="197"/>
      <c r="D2437" s="197"/>
      <c r="E2437" s="197"/>
      <c r="F2437" s="197"/>
      <c r="G2437" s="198"/>
      <c r="H2437" s="199"/>
      <c r="I2437" s="199"/>
      <c r="J2437" s="200"/>
      <c r="K2437" s="201"/>
      <c r="L2437" s="276"/>
      <c r="M2437" s="276"/>
      <c r="N2437" s="235"/>
      <c r="O2437" s="235"/>
      <c r="P2437" s="235"/>
      <c r="Q2437" s="235"/>
      <c r="R2437" s="235"/>
      <c r="S2437" s="236"/>
      <c r="T2437" s="236"/>
      <c r="U2437" s="236"/>
      <c r="V2437" s="235"/>
      <c r="W2437" s="235"/>
      <c r="X2437" s="235"/>
      <c r="Y2437" s="235"/>
      <c r="Z2437" s="235"/>
    </row>
    <row r="2438" spans="1:26" ht="18" customHeight="1" x14ac:dyDescent="0.2">
      <c r="A2438" s="279">
        <f t="shared" si="2589"/>
        <v>45289</v>
      </c>
      <c r="B2438" s="278" t="s">
        <v>189</v>
      </c>
      <c r="C2438" s="197"/>
      <c r="D2438" s="197"/>
      <c r="E2438" s="197"/>
      <c r="F2438" s="197"/>
      <c r="G2438" s="198"/>
      <c r="H2438" s="199"/>
      <c r="I2438" s="199"/>
      <c r="J2438" s="200"/>
      <c r="K2438" s="201"/>
      <c r="L2438" s="276"/>
      <c r="M2438" s="276"/>
      <c r="N2438" s="235"/>
      <c r="O2438" s="235"/>
      <c r="P2438" s="235"/>
      <c r="Q2438" s="235"/>
      <c r="R2438" s="235"/>
      <c r="S2438" s="236"/>
      <c r="T2438" s="236"/>
      <c r="U2438" s="236"/>
      <c r="V2438" s="235"/>
      <c r="W2438" s="235"/>
      <c r="X2438" s="235"/>
      <c r="Y2438" s="235"/>
      <c r="Z2438" s="235"/>
    </row>
    <row r="2439" spans="1:26" ht="18" customHeight="1" x14ac:dyDescent="0.2">
      <c r="A2439" s="279">
        <f t="shared" si="2589"/>
        <v>45290</v>
      </c>
      <c r="B2439" s="279" t="s">
        <v>195</v>
      </c>
      <c r="C2439" s="197"/>
      <c r="D2439" s="197"/>
      <c r="E2439" s="197"/>
      <c r="F2439" s="197"/>
      <c r="G2439" s="198"/>
      <c r="H2439" s="199"/>
      <c r="I2439" s="199"/>
      <c r="J2439" s="200"/>
      <c r="K2439" s="201"/>
      <c r="L2439" s="276"/>
      <c r="M2439" s="276"/>
      <c r="N2439" s="235"/>
      <c r="O2439" s="235"/>
      <c r="P2439" s="235"/>
      <c r="Q2439" s="235"/>
      <c r="R2439" s="235"/>
      <c r="S2439" s="236"/>
      <c r="T2439" s="236"/>
      <c r="U2439" s="236"/>
      <c r="V2439" s="235"/>
      <c r="W2439" s="235"/>
      <c r="X2439" s="235"/>
      <c r="Y2439" s="235"/>
      <c r="Z2439" s="235"/>
    </row>
    <row r="2440" spans="1:26" ht="18" customHeight="1" x14ac:dyDescent="0.2">
      <c r="A2440" s="279">
        <f t="shared" si="2589"/>
        <v>45291</v>
      </c>
      <c r="B2440" s="278" t="s">
        <v>190</v>
      </c>
      <c r="C2440" s="197"/>
      <c r="D2440" s="197"/>
      <c r="E2440" s="197"/>
      <c r="F2440" s="197"/>
      <c r="G2440" s="198"/>
      <c r="H2440" s="199"/>
      <c r="I2440" s="199"/>
      <c r="J2440" s="200"/>
      <c r="K2440" s="201"/>
      <c r="L2440" s="276"/>
      <c r="M2440" s="276"/>
      <c r="N2440" s="235"/>
      <c r="O2440" s="235"/>
      <c r="P2440" s="235"/>
      <c r="Q2440" s="235"/>
      <c r="R2440" s="235"/>
      <c r="S2440" s="236"/>
      <c r="T2440" s="236"/>
      <c r="U2440" s="236"/>
      <c r="V2440" s="235"/>
      <c r="W2440" s="235"/>
      <c r="X2440" s="235"/>
      <c r="Y2440" s="235"/>
      <c r="Z2440" s="235"/>
    </row>
    <row r="2441" spans="1:26" ht="18" customHeight="1" x14ac:dyDescent="0.2">
      <c r="A2441" s="279">
        <f t="shared" si="2589"/>
        <v>45292</v>
      </c>
      <c r="B2441" s="280" t="s">
        <v>191</v>
      </c>
      <c r="C2441" s="197"/>
      <c r="D2441" s="197"/>
      <c r="E2441" s="197"/>
      <c r="F2441" s="197"/>
      <c r="G2441" s="198"/>
      <c r="H2441" s="199"/>
      <c r="I2441" s="199"/>
      <c r="J2441" s="200"/>
      <c r="K2441" s="201"/>
      <c r="L2441" s="276"/>
      <c r="M2441" s="276"/>
      <c r="N2441" s="235"/>
      <c r="O2441" s="235"/>
      <c r="P2441" s="235"/>
      <c r="Q2441" s="235"/>
      <c r="R2441" s="235"/>
      <c r="S2441" s="236"/>
      <c r="T2441" s="236"/>
      <c r="U2441" s="236"/>
      <c r="V2441" s="235"/>
      <c r="W2441" s="235"/>
      <c r="X2441" s="235"/>
      <c r="Y2441" s="235"/>
      <c r="Z2441" s="235"/>
    </row>
    <row r="2442" spans="1:26" ht="18" customHeight="1" x14ac:dyDescent="0.2">
      <c r="A2442" s="279">
        <f t="shared" si="2589"/>
        <v>45293</v>
      </c>
      <c r="B2442" s="280" t="s">
        <v>192</v>
      </c>
      <c r="C2442" s="197"/>
      <c r="D2442" s="197"/>
      <c r="E2442" s="197"/>
      <c r="F2442" s="197"/>
      <c r="G2442" s="198"/>
      <c r="H2442" s="199"/>
      <c r="I2442" s="199"/>
      <c r="J2442" s="200"/>
      <c r="K2442" s="201"/>
      <c r="L2442" s="276"/>
      <c r="M2442" s="276"/>
      <c r="N2442" s="235"/>
      <c r="O2442" s="235"/>
      <c r="P2442" s="235"/>
      <c r="Q2442" s="235"/>
      <c r="R2442" s="235"/>
      <c r="S2442" s="236"/>
      <c r="T2442" s="236"/>
      <c r="U2442" s="236"/>
      <c r="V2442" s="235"/>
      <c r="W2442" s="235"/>
      <c r="X2442" s="235"/>
      <c r="Y2442" s="235"/>
      <c r="Z2442" s="235"/>
    </row>
    <row r="2443" spans="1:26" ht="18" customHeight="1" x14ac:dyDescent="0.2">
      <c r="A2443" s="279">
        <f t="shared" si="2589"/>
        <v>45294</v>
      </c>
      <c r="B2443" s="280" t="s">
        <v>193</v>
      </c>
      <c r="C2443" s="197"/>
      <c r="D2443" s="197"/>
      <c r="E2443" s="197"/>
      <c r="F2443" s="197"/>
      <c r="G2443" s="198"/>
      <c r="H2443" s="199"/>
      <c r="I2443" s="199"/>
      <c r="J2443" s="200"/>
      <c r="K2443" s="201"/>
      <c r="L2443" s="276"/>
      <c r="M2443" s="276"/>
      <c r="N2443" s="235"/>
      <c r="O2443" s="235"/>
      <c r="P2443" s="235"/>
      <c r="Q2443" s="235"/>
      <c r="R2443" s="235"/>
      <c r="S2443" s="236"/>
      <c r="T2443" s="236"/>
      <c r="U2443" s="236"/>
      <c r="V2443" s="235"/>
      <c r="W2443" s="235"/>
      <c r="X2443" s="235"/>
      <c r="Y2443" s="235"/>
      <c r="Z2443" s="235"/>
    </row>
    <row r="2444" spans="1:26" ht="18" customHeight="1" x14ac:dyDescent="0.2">
      <c r="A2444" s="279">
        <f t="shared" si="2589"/>
        <v>45295</v>
      </c>
      <c r="B2444" s="280" t="s">
        <v>194</v>
      </c>
      <c r="C2444" s="197"/>
      <c r="D2444" s="197"/>
      <c r="E2444" s="197"/>
      <c r="F2444" s="197"/>
      <c r="G2444" s="198"/>
      <c r="H2444" s="199"/>
      <c r="I2444" s="199"/>
      <c r="J2444" s="200"/>
      <c r="K2444" s="201"/>
      <c r="L2444" s="276"/>
      <c r="M2444" s="276"/>
      <c r="N2444" s="235"/>
      <c r="O2444" s="235"/>
      <c r="P2444" s="235"/>
      <c r="Q2444" s="235"/>
      <c r="R2444" s="235"/>
      <c r="S2444" s="236"/>
      <c r="T2444" s="236"/>
      <c r="U2444" s="236"/>
      <c r="V2444" s="235"/>
      <c r="W2444" s="235"/>
      <c r="X2444" s="235"/>
      <c r="Y2444" s="235"/>
      <c r="Z2444" s="235"/>
    </row>
    <row r="2445" spans="1:26" ht="18" customHeight="1" x14ac:dyDescent="0.2">
      <c r="A2445" s="279">
        <f t="shared" si="2589"/>
        <v>45296</v>
      </c>
      <c r="B2445" s="278" t="s">
        <v>189</v>
      </c>
      <c r="C2445" s="197"/>
      <c r="D2445" s="197"/>
      <c r="E2445" s="197"/>
      <c r="F2445" s="197"/>
      <c r="G2445" s="198"/>
      <c r="H2445" s="199"/>
      <c r="I2445" s="199"/>
      <c r="J2445" s="200"/>
      <c r="K2445" s="201"/>
      <c r="L2445" s="276"/>
      <c r="M2445" s="276"/>
      <c r="N2445" s="235"/>
      <c r="O2445" s="235"/>
      <c r="P2445" s="235"/>
      <c r="Q2445" s="235"/>
      <c r="R2445" s="235"/>
      <c r="S2445" s="236"/>
      <c r="T2445" s="236"/>
      <c r="U2445" s="236"/>
      <c r="V2445" s="235"/>
      <c r="W2445" s="235"/>
      <c r="X2445" s="235"/>
      <c r="Y2445" s="235"/>
      <c r="Z2445" s="235"/>
    </row>
    <row r="2446" spans="1:26" ht="18" customHeight="1" x14ac:dyDescent="0.2">
      <c r="A2446" s="279">
        <f t="shared" si="2589"/>
        <v>45297</v>
      </c>
      <c r="B2446" s="279" t="s">
        <v>195</v>
      </c>
      <c r="C2446" s="197"/>
      <c r="D2446" s="197"/>
      <c r="E2446" s="197"/>
      <c r="F2446" s="197"/>
      <c r="G2446" s="198"/>
      <c r="H2446" s="199"/>
      <c r="I2446" s="199"/>
      <c r="J2446" s="200"/>
      <c r="K2446" s="201"/>
      <c r="L2446" s="276"/>
      <c r="M2446" s="276"/>
      <c r="N2446" s="235"/>
      <c r="O2446" s="235"/>
      <c r="P2446" s="235"/>
      <c r="Q2446" s="235"/>
      <c r="R2446" s="235"/>
      <c r="S2446" s="236"/>
      <c r="T2446" s="236"/>
      <c r="U2446" s="236"/>
      <c r="V2446" s="235"/>
      <c r="W2446" s="235"/>
      <c r="X2446" s="235"/>
      <c r="Y2446" s="235"/>
      <c r="Z2446" s="235"/>
    </row>
    <row r="2447" spans="1:26" ht="18" customHeight="1" x14ac:dyDescent="0.2">
      <c r="A2447" s="279">
        <f t="shared" si="2589"/>
        <v>45298</v>
      </c>
      <c r="B2447" s="278" t="s">
        <v>190</v>
      </c>
      <c r="C2447" s="197"/>
      <c r="D2447" s="197"/>
      <c r="E2447" s="197"/>
      <c r="F2447" s="197"/>
      <c r="G2447" s="198"/>
      <c r="H2447" s="199"/>
      <c r="I2447" s="199"/>
      <c r="J2447" s="200"/>
      <c r="K2447" s="201"/>
      <c r="L2447" s="276"/>
      <c r="M2447" s="276"/>
      <c r="N2447" s="235"/>
      <c r="O2447" s="235"/>
      <c r="P2447" s="235"/>
      <c r="Q2447" s="235"/>
      <c r="R2447" s="235"/>
      <c r="S2447" s="236"/>
      <c r="T2447" s="236"/>
      <c r="U2447" s="236"/>
      <c r="V2447" s="235"/>
      <c r="W2447" s="235"/>
      <c r="X2447" s="235"/>
      <c r="Y2447" s="235"/>
      <c r="Z2447" s="235"/>
    </row>
    <row r="2448" spans="1:26" ht="18" customHeight="1" x14ac:dyDescent="0.2">
      <c r="A2448" s="279">
        <f t="shared" si="2589"/>
        <v>45299</v>
      </c>
      <c r="B2448" s="280" t="s">
        <v>191</v>
      </c>
      <c r="C2448" s="197"/>
      <c r="D2448" s="197"/>
      <c r="E2448" s="197"/>
      <c r="F2448" s="197"/>
      <c r="G2448" s="198"/>
      <c r="H2448" s="199"/>
      <c r="I2448" s="199"/>
      <c r="J2448" s="200"/>
      <c r="K2448" s="201"/>
      <c r="L2448" s="276"/>
      <c r="M2448" s="276"/>
      <c r="N2448" s="235"/>
      <c r="O2448" s="235"/>
      <c r="P2448" s="235"/>
      <c r="Q2448" s="235"/>
      <c r="R2448" s="235"/>
      <c r="S2448" s="236"/>
      <c r="T2448" s="236"/>
      <c r="U2448" s="236"/>
      <c r="V2448" s="235"/>
      <c r="W2448" s="235"/>
      <c r="X2448" s="235"/>
      <c r="Y2448" s="235"/>
      <c r="Z2448" s="235"/>
    </row>
    <row r="2449" spans="1:26" ht="18" customHeight="1" x14ac:dyDescent="0.2">
      <c r="A2449" s="279">
        <f t="shared" si="2589"/>
        <v>45300</v>
      </c>
      <c r="B2449" s="280" t="s">
        <v>192</v>
      </c>
      <c r="C2449" s="197"/>
      <c r="D2449" s="197"/>
      <c r="E2449" s="197"/>
      <c r="F2449" s="197"/>
      <c r="G2449" s="198"/>
      <c r="H2449" s="199"/>
      <c r="I2449" s="199"/>
      <c r="J2449" s="200"/>
      <c r="K2449" s="201"/>
      <c r="L2449" s="276"/>
      <c r="M2449" s="276"/>
      <c r="N2449" s="235"/>
      <c r="O2449" s="235"/>
      <c r="P2449" s="235"/>
      <c r="Q2449" s="235"/>
      <c r="R2449" s="235"/>
      <c r="S2449" s="236"/>
      <c r="T2449" s="236"/>
      <c r="U2449" s="236"/>
      <c r="V2449" s="235"/>
      <c r="W2449" s="235"/>
      <c r="X2449" s="235"/>
      <c r="Y2449" s="235"/>
      <c r="Z2449" s="235"/>
    </row>
    <row r="2450" spans="1:26" ht="18" customHeight="1" x14ac:dyDescent="0.2">
      <c r="A2450" s="279">
        <f t="shared" si="2589"/>
        <v>45301</v>
      </c>
      <c r="B2450" s="280" t="s">
        <v>193</v>
      </c>
      <c r="C2450" s="197"/>
      <c r="D2450" s="197"/>
      <c r="E2450" s="197"/>
      <c r="F2450" s="197"/>
      <c r="G2450" s="198"/>
      <c r="H2450" s="199"/>
      <c r="I2450" s="199"/>
      <c r="J2450" s="200"/>
      <c r="K2450" s="201"/>
      <c r="L2450" s="276"/>
      <c r="M2450" s="276"/>
      <c r="N2450" s="235"/>
      <c r="O2450" s="235"/>
      <c r="P2450" s="235"/>
      <c r="Q2450" s="235"/>
      <c r="R2450" s="235"/>
      <c r="S2450" s="236"/>
      <c r="T2450" s="236"/>
      <c r="U2450" s="236"/>
      <c r="V2450" s="235"/>
      <c r="W2450" s="235"/>
      <c r="X2450" s="235"/>
      <c r="Y2450" s="235"/>
      <c r="Z2450" s="235"/>
    </row>
    <row r="2451" spans="1:26" ht="18" customHeight="1" x14ac:dyDescent="0.2">
      <c r="A2451" s="279">
        <f t="shared" si="2589"/>
        <v>45302</v>
      </c>
      <c r="B2451" s="280" t="s">
        <v>194</v>
      </c>
      <c r="C2451" s="197"/>
      <c r="D2451" s="197"/>
      <c r="E2451" s="197"/>
      <c r="F2451" s="197"/>
      <c r="G2451" s="198"/>
      <c r="H2451" s="199"/>
      <c r="I2451" s="199"/>
      <c r="J2451" s="200"/>
      <c r="K2451" s="201"/>
      <c r="L2451" s="276"/>
      <c r="M2451" s="276"/>
      <c r="N2451" s="235"/>
      <c r="O2451" s="235"/>
      <c r="P2451" s="235"/>
      <c r="Q2451" s="235"/>
      <c r="R2451" s="235"/>
      <c r="S2451" s="236"/>
      <c r="T2451" s="236"/>
      <c r="U2451" s="236"/>
      <c r="V2451" s="235"/>
      <c r="W2451" s="235"/>
      <c r="X2451" s="235"/>
      <c r="Y2451" s="235"/>
      <c r="Z2451" s="235"/>
    </row>
    <row r="2452" spans="1:26" ht="18" customHeight="1" x14ac:dyDescent="0.2">
      <c r="A2452" s="279">
        <f t="shared" si="2589"/>
        <v>45303</v>
      </c>
      <c r="B2452" s="278" t="s">
        <v>189</v>
      </c>
      <c r="C2452" s="197"/>
      <c r="D2452" s="197"/>
      <c r="E2452" s="197"/>
      <c r="F2452" s="197"/>
      <c r="G2452" s="198"/>
      <c r="H2452" s="199"/>
      <c r="I2452" s="199"/>
      <c r="J2452" s="200"/>
      <c r="K2452" s="201"/>
      <c r="L2452" s="276"/>
      <c r="M2452" s="276"/>
      <c r="N2452" s="235"/>
      <c r="O2452" s="235"/>
      <c r="P2452" s="235"/>
      <c r="Q2452" s="235"/>
      <c r="R2452" s="235"/>
      <c r="S2452" s="236"/>
      <c r="T2452" s="236"/>
      <c r="U2452" s="236"/>
      <c r="V2452" s="235"/>
      <c r="W2452" s="235"/>
      <c r="X2452" s="235"/>
      <c r="Y2452" s="235"/>
      <c r="Z2452" s="235"/>
    </row>
    <row r="2453" spans="1:26" ht="18" customHeight="1" x14ac:dyDescent="0.2">
      <c r="A2453" s="279">
        <f t="shared" si="2589"/>
        <v>45304</v>
      </c>
      <c r="B2453" s="279" t="s">
        <v>195</v>
      </c>
      <c r="C2453" s="197"/>
      <c r="D2453" s="197"/>
      <c r="E2453" s="197"/>
      <c r="F2453" s="197"/>
      <c r="G2453" s="198"/>
      <c r="H2453" s="199"/>
      <c r="I2453" s="199"/>
      <c r="J2453" s="200"/>
      <c r="K2453" s="201"/>
      <c r="L2453" s="276"/>
      <c r="M2453" s="276"/>
      <c r="N2453" s="235"/>
      <c r="O2453" s="235"/>
      <c r="P2453" s="235"/>
      <c r="Q2453" s="235"/>
      <c r="R2453" s="235"/>
      <c r="S2453" s="236"/>
      <c r="T2453" s="236"/>
      <c r="U2453" s="236"/>
      <c r="V2453" s="235"/>
      <c r="W2453" s="235"/>
      <c r="X2453" s="235"/>
      <c r="Y2453" s="235"/>
      <c r="Z2453" s="235"/>
    </row>
    <row r="2454" spans="1:26" ht="18" customHeight="1" x14ac:dyDescent="0.2">
      <c r="A2454" s="279">
        <f t="shared" si="2589"/>
        <v>45305</v>
      </c>
      <c r="B2454" s="278" t="s">
        <v>190</v>
      </c>
      <c r="C2454" s="197"/>
      <c r="D2454" s="197"/>
      <c r="E2454" s="197"/>
      <c r="F2454" s="197"/>
      <c r="G2454" s="198"/>
      <c r="H2454" s="199"/>
      <c r="I2454" s="199"/>
      <c r="J2454" s="200"/>
      <c r="K2454" s="201"/>
      <c r="L2454" s="276"/>
      <c r="M2454" s="276"/>
      <c r="N2454" s="235"/>
      <c r="O2454" s="235"/>
      <c r="P2454" s="235"/>
      <c r="Q2454" s="235"/>
      <c r="R2454" s="235"/>
      <c r="S2454" s="236"/>
      <c r="T2454" s="236"/>
      <c r="U2454" s="236"/>
      <c r="V2454" s="235"/>
      <c r="W2454" s="235"/>
      <c r="X2454" s="235"/>
      <c r="Y2454" s="235"/>
      <c r="Z2454" s="235"/>
    </row>
    <row r="2455" spans="1:26" ht="18" customHeight="1" x14ac:dyDescent="0.2">
      <c r="A2455" s="279">
        <f t="shared" si="2589"/>
        <v>45306</v>
      </c>
      <c r="B2455" s="280" t="s">
        <v>191</v>
      </c>
      <c r="C2455" s="197"/>
      <c r="D2455" s="197"/>
      <c r="E2455" s="197"/>
      <c r="F2455" s="197"/>
      <c r="G2455" s="198"/>
      <c r="H2455" s="199"/>
      <c r="I2455" s="199"/>
      <c r="J2455" s="200"/>
      <c r="K2455" s="201"/>
      <c r="L2455" s="276"/>
      <c r="M2455" s="276"/>
      <c r="N2455" s="235"/>
      <c r="O2455" s="235"/>
      <c r="P2455" s="235"/>
      <c r="Q2455" s="235"/>
      <c r="R2455" s="235"/>
      <c r="S2455" s="236"/>
      <c r="T2455" s="236"/>
      <c r="U2455" s="236"/>
      <c r="V2455" s="235"/>
      <c r="W2455" s="235"/>
      <c r="X2455" s="235"/>
      <c r="Y2455" s="235"/>
      <c r="Z2455" s="235"/>
    </row>
    <row r="2456" spans="1:26" ht="18" customHeight="1" x14ac:dyDescent="0.2">
      <c r="A2456" s="279">
        <f t="shared" si="2589"/>
        <v>45307</v>
      </c>
      <c r="B2456" s="280" t="s">
        <v>192</v>
      </c>
      <c r="C2456" s="197"/>
      <c r="D2456" s="197"/>
      <c r="E2456" s="197"/>
      <c r="F2456" s="197"/>
      <c r="G2456" s="198"/>
      <c r="H2456" s="199"/>
      <c r="I2456" s="199"/>
      <c r="J2456" s="200"/>
      <c r="K2456" s="201"/>
      <c r="L2456" s="276"/>
      <c r="M2456" s="276"/>
      <c r="N2456" s="235"/>
      <c r="O2456" s="235"/>
      <c r="P2456" s="235"/>
      <c r="Q2456" s="235"/>
      <c r="R2456" s="235"/>
      <c r="S2456" s="236"/>
      <c r="T2456" s="236"/>
      <c r="U2456" s="236"/>
      <c r="V2456" s="235"/>
      <c r="W2456" s="235"/>
      <c r="X2456" s="235"/>
      <c r="Y2456" s="235"/>
      <c r="Z2456" s="235"/>
    </row>
    <row r="2457" spans="1:26" ht="18" customHeight="1" x14ac:dyDescent="0.2">
      <c r="A2457" s="279">
        <f t="shared" si="2589"/>
        <v>45308</v>
      </c>
      <c r="B2457" s="280" t="s">
        <v>193</v>
      </c>
      <c r="C2457" s="197"/>
      <c r="D2457" s="197"/>
      <c r="E2457" s="197"/>
      <c r="F2457" s="197"/>
      <c r="G2457" s="198"/>
      <c r="H2457" s="199"/>
      <c r="I2457" s="199"/>
      <c r="J2457" s="200"/>
      <c r="K2457" s="201"/>
      <c r="L2457" s="276"/>
      <c r="M2457" s="276"/>
      <c r="N2457" s="235"/>
      <c r="O2457" s="235"/>
      <c r="P2457" s="235"/>
      <c r="Q2457" s="235"/>
      <c r="R2457" s="235"/>
      <c r="S2457" s="236"/>
      <c r="T2457" s="236"/>
      <c r="U2457" s="236"/>
      <c r="V2457" s="235"/>
      <c r="W2457" s="235"/>
      <c r="X2457" s="235"/>
      <c r="Y2457" s="235"/>
      <c r="Z2457" s="235"/>
    </row>
    <row r="2458" spans="1:26" ht="18" customHeight="1" x14ac:dyDescent="0.2">
      <c r="A2458" s="279">
        <f t="shared" si="2589"/>
        <v>45309</v>
      </c>
      <c r="B2458" s="280" t="s">
        <v>194</v>
      </c>
      <c r="C2458" s="197"/>
      <c r="D2458" s="197"/>
      <c r="E2458" s="197"/>
      <c r="F2458" s="197"/>
      <c r="G2458" s="198"/>
      <c r="H2458" s="199"/>
      <c r="I2458" s="199"/>
      <c r="J2458" s="200"/>
      <c r="K2458" s="201"/>
      <c r="L2458" s="276"/>
      <c r="M2458" s="276"/>
      <c r="N2458" s="235"/>
      <c r="O2458" s="235"/>
      <c r="P2458" s="235"/>
      <c r="Q2458" s="235"/>
      <c r="R2458" s="235"/>
      <c r="S2458" s="236"/>
      <c r="T2458" s="236"/>
      <c r="U2458" s="236"/>
      <c r="V2458" s="235"/>
      <c r="W2458" s="235"/>
      <c r="X2458" s="235"/>
      <c r="Y2458" s="235"/>
      <c r="Z2458" s="235"/>
    </row>
    <row r="2459" spans="1:26" ht="18" customHeight="1" x14ac:dyDescent="0.2">
      <c r="A2459" s="279">
        <f t="shared" si="2589"/>
        <v>45310</v>
      </c>
      <c r="B2459" s="278" t="s">
        <v>189</v>
      </c>
      <c r="C2459" s="197"/>
      <c r="D2459" s="197"/>
      <c r="E2459" s="197"/>
      <c r="F2459" s="197"/>
      <c r="G2459" s="198"/>
      <c r="H2459" s="199"/>
      <c r="I2459" s="199"/>
      <c r="J2459" s="200"/>
      <c r="K2459" s="201"/>
      <c r="L2459" s="276"/>
      <c r="M2459" s="276"/>
      <c r="N2459" s="235"/>
      <c r="O2459" s="235"/>
      <c r="P2459" s="235"/>
      <c r="Q2459" s="235"/>
      <c r="R2459" s="235"/>
      <c r="S2459" s="236"/>
      <c r="T2459" s="236"/>
      <c r="U2459" s="236"/>
      <c r="V2459" s="235"/>
      <c r="W2459" s="235"/>
      <c r="X2459" s="235"/>
      <c r="Y2459" s="235"/>
      <c r="Z2459" s="235"/>
    </row>
    <row r="2460" spans="1:26" ht="18" customHeight="1" x14ac:dyDescent="0.2">
      <c r="A2460" s="279">
        <f t="shared" si="2589"/>
        <v>45311</v>
      </c>
      <c r="B2460" s="279" t="s">
        <v>195</v>
      </c>
      <c r="C2460" s="197"/>
      <c r="D2460" s="197"/>
      <c r="E2460" s="197"/>
      <c r="F2460" s="197"/>
      <c r="G2460" s="198"/>
      <c r="H2460" s="199"/>
      <c r="I2460" s="199"/>
      <c r="J2460" s="200"/>
      <c r="K2460" s="201"/>
      <c r="L2460" s="276"/>
      <c r="M2460" s="276"/>
      <c r="N2460" s="235"/>
      <c r="O2460" s="235"/>
      <c r="P2460" s="235"/>
      <c r="Q2460" s="235"/>
      <c r="R2460" s="235"/>
      <c r="S2460" s="236"/>
      <c r="T2460" s="236"/>
      <c r="U2460" s="236"/>
      <c r="V2460" s="235"/>
      <c r="W2460" s="235"/>
      <c r="X2460" s="235"/>
      <c r="Y2460" s="235"/>
      <c r="Z2460" s="235"/>
    </row>
    <row r="2461" spans="1:26" ht="18" customHeight="1" x14ac:dyDescent="0.2">
      <c r="A2461" s="279">
        <f t="shared" si="2589"/>
        <v>45312</v>
      </c>
      <c r="B2461" s="278" t="s">
        <v>190</v>
      </c>
      <c r="C2461" s="197"/>
      <c r="D2461" s="197"/>
      <c r="E2461" s="197"/>
      <c r="F2461" s="197"/>
      <c r="G2461" s="198"/>
      <c r="H2461" s="199"/>
      <c r="I2461" s="199"/>
      <c r="J2461" s="200"/>
      <c r="K2461" s="201"/>
      <c r="L2461" s="276"/>
      <c r="M2461" s="276"/>
      <c r="N2461" s="235"/>
      <c r="O2461" s="235"/>
      <c r="P2461" s="235"/>
      <c r="Q2461" s="235"/>
      <c r="R2461" s="235"/>
      <c r="S2461" s="236"/>
      <c r="T2461" s="236"/>
      <c r="U2461" s="236"/>
      <c r="V2461" s="235"/>
      <c r="W2461" s="235"/>
      <c r="X2461" s="235"/>
      <c r="Y2461" s="235"/>
      <c r="Z2461" s="235"/>
    </row>
    <row r="2462" spans="1:26" ht="18" customHeight="1" x14ac:dyDescent="0.2">
      <c r="A2462" s="279">
        <f t="shared" si="2589"/>
        <v>45313</v>
      </c>
      <c r="B2462" s="280" t="s">
        <v>191</v>
      </c>
      <c r="C2462" s="197"/>
      <c r="D2462" s="197"/>
      <c r="E2462" s="197"/>
      <c r="F2462" s="197"/>
      <c r="G2462" s="198"/>
      <c r="H2462" s="199"/>
      <c r="I2462" s="199"/>
      <c r="J2462" s="200"/>
      <c r="K2462" s="201"/>
      <c r="L2462" s="276"/>
      <c r="M2462" s="276"/>
      <c r="N2462" s="235"/>
      <c r="O2462" s="235"/>
      <c r="P2462" s="235"/>
      <c r="Q2462" s="235"/>
      <c r="R2462" s="235"/>
      <c r="S2462" s="236"/>
      <c r="T2462" s="236"/>
      <c r="U2462" s="236"/>
      <c r="V2462" s="235"/>
      <c r="W2462" s="235"/>
      <c r="X2462" s="235"/>
      <c r="Y2462" s="235"/>
      <c r="Z2462" s="235"/>
    </row>
    <row r="2463" spans="1:26" ht="18" customHeight="1" x14ac:dyDescent="0.2">
      <c r="A2463" s="279">
        <f t="shared" si="2589"/>
        <v>45314</v>
      </c>
      <c r="B2463" s="280" t="s">
        <v>192</v>
      </c>
      <c r="C2463" s="197"/>
      <c r="D2463" s="197"/>
      <c r="E2463" s="197"/>
      <c r="F2463" s="197"/>
      <c r="G2463" s="198"/>
      <c r="H2463" s="199"/>
      <c r="I2463" s="199"/>
      <c r="J2463" s="200"/>
      <c r="K2463" s="201"/>
      <c r="L2463" s="276"/>
      <c r="M2463" s="276"/>
      <c r="N2463" s="235"/>
      <c r="O2463" s="235"/>
      <c r="P2463" s="235"/>
      <c r="Q2463" s="235"/>
      <c r="R2463" s="235"/>
      <c r="S2463" s="236"/>
      <c r="T2463" s="236"/>
      <c r="U2463" s="236"/>
      <c r="V2463" s="235"/>
      <c r="W2463" s="235"/>
      <c r="X2463" s="235"/>
      <c r="Y2463" s="235"/>
      <c r="Z2463" s="235"/>
    </row>
    <row r="2464" spans="1:26" ht="18" customHeight="1" x14ac:dyDescent="0.2">
      <c r="A2464" s="279">
        <f t="shared" si="2589"/>
        <v>45315</v>
      </c>
      <c r="B2464" s="280" t="s">
        <v>193</v>
      </c>
      <c r="C2464" s="197"/>
      <c r="D2464" s="197"/>
      <c r="E2464" s="197"/>
      <c r="F2464" s="197"/>
      <c r="G2464" s="198"/>
      <c r="H2464" s="199"/>
      <c r="I2464" s="199"/>
      <c r="J2464" s="200"/>
      <c r="K2464" s="201"/>
      <c r="L2464" s="276"/>
      <c r="M2464" s="276"/>
      <c r="N2464" s="235"/>
      <c r="O2464" s="235"/>
      <c r="P2464" s="235"/>
      <c r="Q2464" s="235"/>
      <c r="R2464" s="235"/>
      <c r="S2464" s="236"/>
      <c r="T2464" s="236"/>
      <c r="U2464" s="236"/>
      <c r="V2464" s="235"/>
      <c r="W2464" s="235"/>
      <c r="X2464" s="235"/>
      <c r="Y2464" s="235"/>
      <c r="Z2464" s="235"/>
    </row>
    <row r="2465" spans="1:26" ht="18" customHeight="1" x14ac:dyDescent="0.2">
      <c r="A2465" s="279">
        <f t="shared" si="2589"/>
        <v>45316</v>
      </c>
      <c r="B2465" s="280" t="s">
        <v>194</v>
      </c>
      <c r="C2465" s="197"/>
      <c r="D2465" s="197"/>
      <c r="E2465" s="197"/>
      <c r="F2465" s="197"/>
      <c r="G2465" s="198"/>
      <c r="H2465" s="199"/>
      <c r="I2465" s="199"/>
      <c r="J2465" s="200"/>
      <c r="K2465" s="201"/>
      <c r="L2465" s="276"/>
      <c r="M2465" s="276"/>
      <c r="N2465" s="235"/>
      <c r="O2465" s="235"/>
      <c r="P2465" s="235"/>
      <c r="Q2465" s="235"/>
      <c r="R2465" s="235"/>
      <c r="S2465" s="236"/>
      <c r="T2465" s="236"/>
      <c r="U2465" s="236"/>
      <c r="V2465" s="235"/>
      <c r="W2465" s="235"/>
      <c r="X2465" s="235"/>
      <c r="Y2465" s="235"/>
      <c r="Z2465" s="235"/>
    </row>
    <row r="2466" spans="1:26" ht="18" customHeight="1" x14ac:dyDescent="0.2">
      <c r="A2466" s="279">
        <f t="shared" si="2589"/>
        <v>45317</v>
      </c>
      <c r="B2466" s="278" t="s">
        <v>189</v>
      </c>
      <c r="C2466" s="197"/>
      <c r="D2466" s="197"/>
      <c r="E2466" s="197"/>
      <c r="F2466" s="197"/>
      <c r="G2466" s="198"/>
      <c r="H2466" s="199"/>
      <c r="I2466" s="199"/>
      <c r="J2466" s="200"/>
      <c r="K2466" s="201"/>
      <c r="L2466" s="276"/>
      <c r="M2466" s="276"/>
      <c r="N2466" s="235"/>
      <c r="O2466" s="235"/>
      <c r="P2466" s="235"/>
      <c r="Q2466" s="235"/>
      <c r="R2466" s="235"/>
      <c r="S2466" s="236"/>
      <c r="T2466" s="236"/>
      <c r="U2466" s="236"/>
      <c r="V2466" s="235"/>
      <c r="W2466" s="235"/>
      <c r="X2466" s="235"/>
      <c r="Y2466" s="235"/>
      <c r="Z2466" s="235"/>
    </row>
    <row r="2467" spans="1:26" ht="18" customHeight="1" x14ac:dyDescent="0.2">
      <c r="A2467" s="279">
        <f t="shared" si="2589"/>
        <v>45318</v>
      </c>
      <c r="B2467" s="279" t="s">
        <v>195</v>
      </c>
      <c r="C2467" s="197"/>
      <c r="D2467" s="197"/>
      <c r="E2467" s="197"/>
      <c r="F2467" s="197"/>
      <c r="G2467" s="198"/>
      <c r="H2467" s="199"/>
      <c r="I2467" s="199"/>
      <c r="J2467" s="200"/>
      <c r="K2467" s="201"/>
      <c r="L2467" s="276"/>
      <c r="M2467" s="276"/>
      <c r="N2467" s="235"/>
      <c r="O2467" s="235"/>
      <c r="P2467" s="235"/>
      <c r="Q2467" s="235"/>
      <c r="R2467" s="235"/>
      <c r="S2467" s="236"/>
      <c r="T2467" s="236"/>
      <c r="U2467" s="236"/>
      <c r="V2467" s="235"/>
      <c r="W2467" s="235"/>
      <c r="X2467" s="235"/>
      <c r="Y2467" s="235"/>
      <c r="Z2467" s="235"/>
    </row>
    <row r="2468" spans="1:26" ht="18" customHeight="1" x14ac:dyDescent="0.2">
      <c r="A2468" s="279">
        <f t="shared" si="2589"/>
        <v>45319</v>
      </c>
      <c r="B2468" s="278" t="s">
        <v>190</v>
      </c>
      <c r="C2468" s="197"/>
      <c r="D2468" s="197"/>
      <c r="E2468" s="197"/>
      <c r="F2468" s="197"/>
      <c r="G2468" s="198"/>
      <c r="H2468" s="199"/>
      <c r="I2468" s="199"/>
      <c r="J2468" s="200"/>
      <c r="K2468" s="201"/>
      <c r="L2468" s="276"/>
      <c r="M2468" s="276"/>
      <c r="N2468" s="235"/>
      <c r="O2468" s="235"/>
      <c r="P2468" s="235"/>
      <c r="Q2468" s="235"/>
      <c r="R2468" s="235"/>
      <c r="S2468" s="236"/>
      <c r="T2468" s="236"/>
      <c r="U2468" s="236"/>
      <c r="V2468" s="235"/>
      <c r="W2468" s="235"/>
      <c r="X2468" s="235"/>
      <c r="Y2468" s="235"/>
      <c r="Z2468" s="235"/>
    </row>
    <row r="2469" spans="1:26" ht="18" customHeight="1" x14ac:dyDescent="0.2">
      <c r="A2469" s="279">
        <f t="shared" si="2589"/>
        <v>45320</v>
      </c>
      <c r="B2469" s="280" t="s">
        <v>191</v>
      </c>
      <c r="C2469" s="197"/>
      <c r="D2469" s="197"/>
      <c r="E2469" s="197"/>
      <c r="F2469" s="197"/>
      <c r="G2469" s="198"/>
      <c r="H2469" s="199"/>
      <c r="I2469" s="199"/>
      <c r="J2469" s="200"/>
      <c r="K2469" s="201"/>
      <c r="L2469" s="276"/>
      <c r="M2469" s="276"/>
      <c r="N2469" s="235"/>
      <c r="O2469" s="235"/>
      <c r="P2469" s="235"/>
      <c r="Q2469" s="235"/>
      <c r="R2469" s="235"/>
      <c r="S2469" s="236"/>
      <c r="T2469" s="236"/>
      <c r="U2469" s="236"/>
      <c r="V2469" s="235"/>
      <c r="W2469" s="235"/>
      <c r="X2469" s="235"/>
      <c r="Y2469" s="235"/>
      <c r="Z2469" s="235"/>
    </row>
    <row r="2470" spans="1:26" ht="18" customHeight="1" x14ac:dyDescent="0.2">
      <c r="A2470" s="279">
        <f t="shared" si="2589"/>
        <v>45321</v>
      </c>
      <c r="B2470" s="280" t="s">
        <v>192</v>
      </c>
      <c r="C2470" s="197"/>
      <c r="D2470" s="197"/>
      <c r="E2470" s="197"/>
      <c r="F2470" s="197"/>
      <c r="G2470" s="198"/>
      <c r="H2470" s="199"/>
      <c r="I2470" s="199"/>
      <c r="J2470" s="200"/>
      <c r="K2470" s="201"/>
      <c r="L2470" s="276"/>
      <c r="M2470" s="276"/>
      <c r="N2470" s="235"/>
      <c r="O2470" s="235"/>
      <c r="P2470" s="235"/>
      <c r="Q2470" s="235"/>
      <c r="R2470" s="235"/>
      <c r="S2470" s="236"/>
      <c r="T2470" s="236"/>
      <c r="U2470" s="236"/>
      <c r="V2470" s="235"/>
      <c r="W2470" s="235"/>
      <c r="X2470" s="235"/>
      <c r="Y2470" s="235"/>
      <c r="Z2470" s="235"/>
    </row>
    <row r="2471" spans="1:26" ht="18" customHeight="1" x14ac:dyDescent="0.2">
      <c r="A2471" s="279">
        <f t="shared" si="2589"/>
        <v>45322</v>
      </c>
      <c r="B2471" s="280" t="s">
        <v>193</v>
      </c>
      <c r="C2471" s="197"/>
      <c r="D2471" s="197"/>
      <c r="E2471" s="197"/>
      <c r="F2471" s="197"/>
      <c r="G2471" s="198"/>
      <c r="H2471" s="199"/>
      <c r="I2471" s="199"/>
      <c r="J2471" s="200"/>
      <c r="K2471" s="201"/>
      <c r="L2471" s="276"/>
      <c r="M2471" s="276"/>
      <c r="N2471" s="235"/>
      <c r="O2471" s="235"/>
      <c r="P2471" s="235"/>
      <c r="Q2471" s="235"/>
      <c r="R2471" s="235"/>
      <c r="S2471" s="236"/>
      <c r="T2471" s="236"/>
      <c r="U2471" s="236"/>
      <c r="V2471" s="235"/>
      <c r="W2471" s="235"/>
      <c r="X2471" s="235"/>
      <c r="Y2471" s="235"/>
      <c r="Z2471" s="235"/>
    </row>
    <row r="2472" spans="1:26" ht="18" customHeight="1" x14ac:dyDescent="0.2">
      <c r="A2472" s="279">
        <f t="shared" ref="A2472:A2535" si="2590">A2471+1</f>
        <v>45323</v>
      </c>
      <c r="B2472" s="280" t="s">
        <v>194</v>
      </c>
      <c r="C2472" s="197"/>
      <c r="D2472" s="197"/>
      <c r="E2472" s="197"/>
      <c r="F2472" s="197"/>
      <c r="G2472" s="198"/>
      <c r="H2472" s="199"/>
      <c r="I2472" s="199"/>
      <c r="J2472" s="200"/>
      <c r="K2472" s="201"/>
      <c r="L2472" s="276"/>
      <c r="M2472" s="276"/>
      <c r="N2472" s="235"/>
      <c r="O2472" s="235"/>
      <c r="P2472" s="235"/>
      <c r="Q2472" s="235"/>
      <c r="R2472" s="235"/>
      <c r="S2472" s="236"/>
      <c r="T2472" s="236"/>
      <c r="U2472" s="236"/>
      <c r="V2472" s="235"/>
      <c r="W2472" s="235"/>
      <c r="X2472" s="235"/>
      <c r="Y2472" s="235"/>
      <c r="Z2472" s="235"/>
    </row>
    <row r="2473" spans="1:26" ht="18" customHeight="1" x14ac:dyDescent="0.2">
      <c r="A2473" s="279">
        <f t="shared" si="2590"/>
        <v>45324</v>
      </c>
      <c r="B2473" s="278" t="s">
        <v>189</v>
      </c>
      <c r="C2473" s="197"/>
      <c r="D2473" s="197"/>
      <c r="E2473" s="197"/>
      <c r="F2473" s="197"/>
      <c r="G2473" s="198"/>
      <c r="H2473" s="199"/>
      <c r="I2473" s="199"/>
      <c r="J2473" s="200"/>
      <c r="K2473" s="201"/>
      <c r="L2473" s="276"/>
      <c r="M2473" s="276"/>
      <c r="N2473" s="235"/>
      <c r="O2473" s="235"/>
      <c r="P2473" s="235"/>
      <c r="Q2473" s="235"/>
      <c r="R2473" s="235"/>
      <c r="S2473" s="236"/>
      <c r="T2473" s="236"/>
      <c r="U2473" s="236"/>
      <c r="V2473" s="235"/>
      <c r="W2473" s="235"/>
      <c r="X2473" s="235"/>
      <c r="Y2473" s="235"/>
      <c r="Z2473" s="235"/>
    </row>
    <row r="2474" spans="1:26" ht="18" customHeight="1" x14ac:dyDescent="0.2">
      <c r="A2474" s="279">
        <f t="shared" si="2590"/>
        <v>45325</v>
      </c>
      <c r="B2474" s="279" t="s">
        <v>195</v>
      </c>
      <c r="C2474" s="197"/>
      <c r="D2474" s="197"/>
      <c r="E2474" s="197"/>
      <c r="F2474" s="197"/>
      <c r="G2474" s="198"/>
      <c r="H2474" s="199"/>
      <c r="I2474" s="199"/>
      <c r="J2474" s="200"/>
      <c r="K2474" s="201"/>
      <c r="L2474" s="276"/>
      <c r="M2474" s="276"/>
      <c r="N2474" s="235"/>
      <c r="O2474" s="235"/>
      <c r="P2474" s="235"/>
      <c r="Q2474" s="235"/>
      <c r="R2474" s="235"/>
      <c r="S2474" s="236"/>
      <c r="T2474" s="236"/>
      <c r="U2474" s="236"/>
      <c r="V2474" s="235"/>
      <c r="W2474" s="235"/>
      <c r="X2474" s="235"/>
      <c r="Y2474" s="235"/>
      <c r="Z2474" s="235"/>
    </row>
    <row r="2475" spans="1:26" ht="18" customHeight="1" x14ac:dyDescent="0.2">
      <c r="A2475" s="279">
        <f t="shared" si="2590"/>
        <v>45326</v>
      </c>
      <c r="B2475" s="278" t="s">
        <v>190</v>
      </c>
      <c r="C2475" s="197"/>
      <c r="D2475" s="197"/>
      <c r="E2475" s="197"/>
      <c r="F2475" s="197"/>
      <c r="G2475" s="198"/>
      <c r="H2475" s="199"/>
      <c r="I2475" s="199"/>
      <c r="J2475" s="200"/>
      <c r="K2475" s="201"/>
      <c r="L2475" s="276"/>
      <c r="M2475" s="276"/>
      <c r="N2475" s="235"/>
      <c r="O2475" s="235"/>
      <c r="P2475" s="235"/>
      <c r="Q2475" s="235"/>
      <c r="R2475" s="235"/>
      <c r="S2475" s="236"/>
      <c r="T2475" s="236"/>
      <c r="U2475" s="236"/>
      <c r="V2475" s="235"/>
      <c r="W2475" s="235"/>
      <c r="X2475" s="235"/>
      <c r="Y2475" s="235"/>
      <c r="Z2475" s="235"/>
    </row>
    <row r="2476" spans="1:26" ht="18" customHeight="1" x14ac:dyDescent="0.2">
      <c r="A2476" s="279">
        <f t="shared" si="2590"/>
        <v>45327</v>
      </c>
      <c r="B2476" s="280" t="s">
        <v>191</v>
      </c>
      <c r="C2476" s="197"/>
      <c r="D2476" s="197"/>
      <c r="E2476" s="197"/>
      <c r="F2476" s="197"/>
      <c r="G2476" s="198"/>
      <c r="H2476" s="199"/>
      <c r="I2476" s="199"/>
      <c r="J2476" s="200"/>
      <c r="K2476" s="201"/>
      <c r="L2476" s="276"/>
      <c r="M2476" s="276"/>
      <c r="N2476" s="235"/>
      <c r="O2476" s="235"/>
      <c r="P2476" s="235"/>
      <c r="Q2476" s="235"/>
      <c r="R2476" s="235"/>
      <c r="S2476" s="236"/>
      <c r="T2476" s="236"/>
      <c r="U2476" s="236"/>
      <c r="V2476" s="235"/>
      <c r="W2476" s="235"/>
      <c r="X2476" s="235"/>
      <c r="Y2476" s="235"/>
      <c r="Z2476" s="235"/>
    </row>
    <row r="2477" spans="1:26" ht="18" customHeight="1" x14ac:dyDescent="0.2">
      <c r="A2477" s="279">
        <f t="shared" si="2590"/>
        <v>45328</v>
      </c>
      <c r="B2477" s="280" t="s">
        <v>192</v>
      </c>
      <c r="C2477" s="197"/>
      <c r="D2477" s="197"/>
      <c r="E2477" s="197"/>
      <c r="F2477" s="197"/>
      <c r="G2477" s="198"/>
      <c r="H2477" s="199"/>
      <c r="I2477" s="199"/>
      <c r="J2477" s="200"/>
      <c r="K2477" s="201"/>
      <c r="L2477" s="276"/>
      <c r="M2477" s="276"/>
      <c r="N2477" s="235"/>
      <c r="O2477" s="235"/>
      <c r="P2477" s="235"/>
      <c r="Q2477" s="235"/>
      <c r="R2477" s="235"/>
      <c r="S2477" s="236"/>
      <c r="T2477" s="236"/>
      <c r="U2477" s="236"/>
      <c r="V2477" s="235"/>
      <c r="W2477" s="235"/>
      <c r="X2477" s="235"/>
      <c r="Y2477" s="235"/>
      <c r="Z2477" s="235"/>
    </row>
    <row r="2478" spans="1:26" ht="18" customHeight="1" x14ac:dyDescent="0.2">
      <c r="A2478" s="279">
        <f t="shared" si="2590"/>
        <v>45329</v>
      </c>
      <c r="B2478" s="280" t="s">
        <v>193</v>
      </c>
      <c r="C2478" s="197"/>
      <c r="D2478" s="197"/>
      <c r="E2478" s="197"/>
      <c r="F2478" s="197"/>
      <c r="G2478" s="198"/>
      <c r="H2478" s="199"/>
      <c r="I2478" s="199"/>
      <c r="J2478" s="200"/>
      <c r="K2478" s="201"/>
      <c r="L2478" s="276"/>
      <c r="M2478" s="276"/>
      <c r="N2478" s="235"/>
      <c r="O2478" s="235"/>
      <c r="P2478" s="235"/>
      <c r="Q2478" s="235"/>
      <c r="R2478" s="235"/>
      <c r="S2478" s="236"/>
      <c r="T2478" s="236"/>
      <c r="U2478" s="236"/>
      <c r="V2478" s="235"/>
      <c r="W2478" s="235"/>
      <c r="X2478" s="235"/>
      <c r="Y2478" s="235"/>
      <c r="Z2478" s="235"/>
    </row>
    <row r="2479" spans="1:26" ht="18" customHeight="1" x14ac:dyDescent="0.2">
      <c r="A2479" s="279">
        <f t="shared" si="2590"/>
        <v>45330</v>
      </c>
      <c r="B2479" s="280" t="s">
        <v>194</v>
      </c>
      <c r="C2479" s="197"/>
      <c r="D2479" s="197"/>
      <c r="E2479" s="197"/>
      <c r="F2479" s="197"/>
      <c r="G2479" s="198"/>
      <c r="H2479" s="199"/>
      <c r="I2479" s="199"/>
      <c r="J2479" s="200"/>
      <c r="K2479" s="201"/>
      <c r="L2479" s="276"/>
      <c r="M2479" s="276"/>
      <c r="N2479" s="235"/>
      <c r="O2479" s="235"/>
      <c r="P2479" s="235"/>
      <c r="Q2479" s="235"/>
      <c r="R2479" s="235"/>
      <c r="S2479" s="236"/>
      <c r="T2479" s="236"/>
      <c r="U2479" s="236"/>
      <c r="V2479" s="235"/>
      <c r="W2479" s="235"/>
      <c r="X2479" s="235"/>
      <c r="Y2479" s="235"/>
      <c r="Z2479" s="235"/>
    </row>
    <row r="2480" spans="1:26" ht="18" customHeight="1" x14ac:dyDescent="0.2">
      <c r="A2480" s="279">
        <f t="shared" si="2590"/>
        <v>45331</v>
      </c>
      <c r="B2480" s="278" t="s">
        <v>189</v>
      </c>
      <c r="C2480" s="197"/>
      <c r="D2480" s="197"/>
      <c r="E2480" s="197"/>
      <c r="F2480" s="197"/>
      <c r="G2480" s="198"/>
      <c r="H2480" s="199"/>
      <c r="I2480" s="199"/>
      <c r="J2480" s="200"/>
      <c r="K2480" s="201"/>
      <c r="L2480" s="276"/>
      <c r="M2480" s="276"/>
      <c r="N2480" s="235"/>
      <c r="O2480" s="235"/>
      <c r="P2480" s="235"/>
      <c r="Q2480" s="235"/>
      <c r="R2480" s="235"/>
      <c r="S2480" s="236"/>
      <c r="T2480" s="236"/>
      <c r="U2480" s="236"/>
      <c r="V2480" s="235"/>
      <c r="W2480" s="235"/>
      <c r="X2480" s="235"/>
      <c r="Y2480" s="235"/>
      <c r="Z2480" s="235"/>
    </row>
    <row r="2481" spans="1:26" ht="18" customHeight="1" x14ac:dyDescent="0.2">
      <c r="A2481" s="279">
        <f t="shared" si="2590"/>
        <v>45332</v>
      </c>
      <c r="B2481" s="279" t="s">
        <v>195</v>
      </c>
      <c r="C2481" s="197"/>
      <c r="D2481" s="197"/>
      <c r="E2481" s="197"/>
      <c r="F2481" s="197"/>
      <c r="G2481" s="198"/>
      <c r="H2481" s="199"/>
      <c r="I2481" s="199"/>
      <c r="J2481" s="200"/>
      <c r="K2481" s="201"/>
      <c r="L2481" s="276"/>
      <c r="M2481" s="276"/>
      <c r="N2481" s="235"/>
      <c r="O2481" s="235"/>
      <c r="P2481" s="235"/>
      <c r="Q2481" s="235"/>
      <c r="R2481" s="235"/>
      <c r="S2481" s="236"/>
      <c r="T2481" s="236"/>
      <c r="U2481" s="236"/>
      <c r="V2481" s="235"/>
      <c r="W2481" s="235"/>
      <c r="X2481" s="235"/>
      <c r="Y2481" s="235"/>
      <c r="Z2481" s="235"/>
    </row>
    <row r="2482" spans="1:26" ht="18" customHeight="1" x14ac:dyDescent="0.2">
      <c r="A2482" s="279">
        <f t="shared" si="2590"/>
        <v>45333</v>
      </c>
      <c r="B2482" s="278" t="s">
        <v>190</v>
      </c>
      <c r="C2482" s="197"/>
      <c r="D2482" s="197"/>
      <c r="E2482" s="197"/>
      <c r="F2482" s="197"/>
      <c r="G2482" s="198"/>
      <c r="H2482" s="199"/>
      <c r="I2482" s="199"/>
      <c r="J2482" s="200"/>
      <c r="K2482" s="201"/>
      <c r="L2482" s="276"/>
      <c r="M2482" s="276"/>
      <c r="N2482" s="235"/>
      <c r="O2482" s="235"/>
      <c r="P2482" s="235"/>
      <c r="Q2482" s="235"/>
      <c r="R2482" s="235"/>
      <c r="S2482" s="236"/>
      <c r="T2482" s="236"/>
      <c r="U2482" s="236"/>
      <c r="V2482" s="235"/>
      <c r="W2482" s="235"/>
      <c r="X2482" s="235"/>
      <c r="Y2482" s="235"/>
      <c r="Z2482" s="235"/>
    </row>
    <row r="2483" spans="1:26" ht="18" customHeight="1" x14ac:dyDescent="0.2">
      <c r="A2483" s="279">
        <f t="shared" si="2590"/>
        <v>45334</v>
      </c>
      <c r="B2483" s="280" t="s">
        <v>191</v>
      </c>
      <c r="C2483" s="197"/>
      <c r="D2483" s="197"/>
      <c r="E2483" s="197"/>
      <c r="F2483" s="197"/>
      <c r="G2483" s="198"/>
      <c r="H2483" s="199"/>
      <c r="I2483" s="199"/>
      <c r="J2483" s="200"/>
      <c r="K2483" s="201"/>
      <c r="L2483" s="276"/>
      <c r="M2483" s="276"/>
      <c r="N2483" s="235"/>
      <c r="O2483" s="235"/>
      <c r="P2483" s="235"/>
      <c r="Q2483" s="235"/>
      <c r="R2483" s="235"/>
      <c r="S2483" s="236"/>
      <c r="T2483" s="236"/>
      <c r="U2483" s="236"/>
      <c r="V2483" s="235"/>
      <c r="W2483" s="235"/>
      <c r="X2483" s="235"/>
      <c r="Y2483" s="235"/>
      <c r="Z2483" s="235"/>
    </row>
    <row r="2484" spans="1:26" ht="18" customHeight="1" x14ac:dyDescent="0.2">
      <c r="A2484" s="279">
        <f t="shared" si="2590"/>
        <v>45335</v>
      </c>
      <c r="B2484" s="280" t="s">
        <v>192</v>
      </c>
      <c r="C2484" s="197"/>
      <c r="D2484" s="197"/>
      <c r="E2484" s="197"/>
      <c r="F2484" s="197"/>
      <c r="G2484" s="198"/>
      <c r="H2484" s="199"/>
      <c r="I2484" s="199"/>
      <c r="J2484" s="200"/>
      <c r="K2484" s="201"/>
      <c r="L2484" s="276"/>
      <c r="M2484" s="276"/>
      <c r="N2484" s="235"/>
      <c r="O2484" s="235"/>
      <c r="P2484" s="235"/>
      <c r="Q2484" s="235"/>
      <c r="R2484" s="235"/>
      <c r="S2484" s="236"/>
      <c r="T2484" s="236"/>
      <c r="U2484" s="236"/>
      <c r="V2484" s="235"/>
      <c r="W2484" s="235"/>
      <c r="X2484" s="235"/>
      <c r="Y2484" s="235"/>
      <c r="Z2484" s="235"/>
    </row>
    <row r="2485" spans="1:26" ht="18" customHeight="1" x14ac:dyDescent="0.2">
      <c r="A2485" s="279">
        <f t="shared" si="2590"/>
        <v>45336</v>
      </c>
      <c r="B2485" s="280" t="s">
        <v>193</v>
      </c>
      <c r="C2485" s="197"/>
      <c r="D2485" s="197"/>
      <c r="E2485" s="197"/>
      <c r="F2485" s="197"/>
      <c r="G2485" s="198"/>
      <c r="H2485" s="199"/>
      <c r="I2485" s="199"/>
      <c r="J2485" s="200"/>
      <c r="K2485" s="201"/>
      <c r="L2485" s="276"/>
      <c r="M2485" s="276"/>
      <c r="N2485" s="235"/>
      <c r="O2485" s="235"/>
      <c r="P2485" s="235"/>
      <c r="Q2485" s="235"/>
      <c r="R2485" s="235"/>
      <c r="S2485" s="236"/>
      <c r="T2485" s="236"/>
      <c r="U2485" s="236"/>
      <c r="V2485" s="235"/>
      <c r="W2485" s="235"/>
      <c r="X2485" s="235"/>
      <c r="Y2485" s="235"/>
      <c r="Z2485" s="235"/>
    </row>
    <row r="2486" spans="1:26" ht="18" customHeight="1" x14ac:dyDescent="0.2">
      <c r="A2486" s="279">
        <f t="shared" si="2590"/>
        <v>45337</v>
      </c>
      <c r="B2486" s="280" t="s">
        <v>194</v>
      </c>
      <c r="C2486" s="197"/>
      <c r="D2486" s="197"/>
      <c r="E2486" s="197"/>
      <c r="F2486" s="197"/>
      <c r="G2486" s="198"/>
      <c r="H2486" s="199"/>
      <c r="I2486" s="199"/>
      <c r="J2486" s="200"/>
      <c r="K2486" s="201"/>
      <c r="L2486" s="276"/>
      <c r="M2486" s="276"/>
      <c r="N2486" s="235"/>
      <c r="O2486" s="235"/>
      <c r="P2486" s="235"/>
      <c r="Q2486" s="235"/>
      <c r="R2486" s="235"/>
      <c r="S2486" s="236"/>
      <c r="T2486" s="236"/>
      <c r="U2486" s="236"/>
      <c r="V2486" s="235"/>
      <c r="W2486" s="235"/>
      <c r="X2486" s="235"/>
      <c r="Y2486" s="235"/>
      <c r="Z2486" s="235"/>
    </row>
    <row r="2487" spans="1:26" ht="18" customHeight="1" x14ac:dyDescent="0.2">
      <c r="A2487" s="279">
        <f t="shared" si="2590"/>
        <v>45338</v>
      </c>
      <c r="B2487" s="278" t="s">
        <v>189</v>
      </c>
      <c r="C2487" s="197"/>
      <c r="D2487" s="197"/>
      <c r="E2487" s="197"/>
      <c r="F2487" s="197"/>
      <c r="G2487" s="198"/>
      <c r="H2487" s="199"/>
      <c r="I2487" s="199"/>
      <c r="J2487" s="200"/>
      <c r="K2487" s="201"/>
      <c r="L2487" s="276"/>
      <c r="M2487" s="276"/>
      <c r="N2487" s="235"/>
      <c r="O2487" s="235"/>
      <c r="P2487" s="235"/>
      <c r="Q2487" s="235"/>
      <c r="R2487" s="235"/>
      <c r="S2487" s="236"/>
      <c r="T2487" s="236"/>
      <c r="U2487" s="236"/>
      <c r="V2487" s="235"/>
      <c r="W2487" s="235"/>
      <c r="X2487" s="235"/>
      <c r="Y2487" s="235"/>
      <c r="Z2487" s="235"/>
    </row>
    <row r="2488" spans="1:26" ht="18" customHeight="1" x14ac:dyDescent="0.2">
      <c r="A2488" s="279">
        <f t="shared" si="2590"/>
        <v>45339</v>
      </c>
      <c r="B2488" s="279" t="s">
        <v>195</v>
      </c>
      <c r="C2488" s="197"/>
      <c r="D2488" s="197"/>
      <c r="E2488" s="197"/>
      <c r="F2488" s="197"/>
      <c r="G2488" s="198"/>
      <c r="H2488" s="199"/>
      <c r="I2488" s="199"/>
      <c r="J2488" s="200"/>
      <c r="K2488" s="201"/>
      <c r="L2488" s="276"/>
      <c r="M2488" s="276"/>
      <c r="N2488" s="235"/>
      <c r="O2488" s="235"/>
      <c r="P2488" s="235"/>
      <c r="Q2488" s="235"/>
      <c r="R2488" s="235"/>
      <c r="S2488" s="236"/>
      <c r="T2488" s="236"/>
      <c r="U2488" s="236"/>
      <c r="V2488" s="235"/>
      <c r="W2488" s="235"/>
      <c r="X2488" s="235"/>
      <c r="Y2488" s="235"/>
      <c r="Z2488" s="235"/>
    </row>
    <row r="2489" spans="1:26" ht="18" customHeight="1" x14ac:dyDescent="0.2">
      <c r="A2489" s="279">
        <f t="shared" si="2590"/>
        <v>45340</v>
      </c>
      <c r="B2489" s="278" t="s">
        <v>190</v>
      </c>
      <c r="C2489" s="197"/>
      <c r="D2489" s="197"/>
      <c r="E2489" s="197"/>
      <c r="F2489" s="197"/>
      <c r="G2489" s="198"/>
      <c r="H2489" s="199"/>
      <c r="I2489" s="199"/>
      <c r="J2489" s="200"/>
      <c r="K2489" s="201"/>
      <c r="L2489" s="276"/>
      <c r="M2489" s="276"/>
      <c r="N2489" s="235"/>
      <c r="O2489" s="235"/>
      <c r="P2489" s="235"/>
      <c r="Q2489" s="235"/>
      <c r="R2489" s="235"/>
      <c r="S2489" s="236"/>
      <c r="T2489" s="236"/>
      <c r="U2489" s="236"/>
      <c r="V2489" s="235"/>
      <c r="W2489" s="235"/>
      <c r="X2489" s="235"/>
      <c r="Y2489" s="235"/>
      <c r="Z2489" s="235"/>
    </row>
    <row r="2490" spans="1:26" ht="18" customHeight="1" x14ac:dyDescent="0.2">
      <c r="A2490" s="279">
        <f t="shared" si="2590"/>
        <v>45341</v>
      </c>
      <c r="B2490" s="280" t="s">
        <v>191</v>
      </c>
      <c r="C2490" s="197"/>
      <c r="D2490" s="197"/>
      <c r="E2490" s="197"/>
      <c r="F2490" s="197"/>
      <c r="G2490" s="198"/>
      <c r="H2490" s="199"/>
      <c r="I2490" s="199"/>
      <c r="J2490" s="200"/>
      <c r="K2490" s="201"/>
      <c r="L2490" s="276"/>
      <c r="M2490" s="276"/>
      <c r="N2490" s="235"/>
      <c r="O2490" s="235"/>
      <c r="P2490" s="235"/>
      <c r="Q2490" s="235"/>
      <c r="R2490" s="235"/>
      <c r="S2490" s="236"/>
      <c r="T2490" s="236"/>
      <c r="U2490" s="236"/>
      <c r="V2490" s="235"/>
      <c r="W2490" s="235"/>
      <c r="X2490" s="235"/>
      <c r="Y2490" s="235"/>
      <c r="Z2490" s="235"/>
    </row>
    <row r="2491" spans="1:26" ht="18" customHeight="1" x14ac:dyDescent="0.2">
      <c r="A2491" s="279">
        <f t="shared" si="2590"/>
        <v>45342</v>
      </c>
      <c r="B2491" s="280" t="s">
        <v>192</v>
      </c>
      <c r="C2491" s="197"/>
      <c r="D2491" s="197"/>
      <c r="E2491" s="197"/>
      <c r="F2491" s="197"/>
      <c r="G2491" s="198"/>
      <c r="H2491" s="199"/>
      <c r="I2491" s="199"/>
      <c r="J2491" s="200"/>
      <c r="K2491" s="201"/>
      <c r="L2491" s="276"/>
      <c r="M2491" s="276"/>
      <c r="N2491" s="235"/>
      <c r="O2491" s="235"/>
      <c r="P2491" s="235"/>
      <c r="Q2491" s="235"/>
      <c r="R2491" s="235"/>
      <c r="S2491" s="236"/>
      <c r="T2491" s="236"/>
      <c r="U2491" s="236"/>
      <c r="V2491" s="235"/>
      <c r="W2491" s="235"/>
      <c r="X2491" s="235"/>
      <c r="Y2491" s="235"/>
      <c r="Z2491" s="235"/>
    </row>
    <row r="2492" spans="1:26" ht="18" customHeight="1" x14ac:dyDescent="0.2">
      <c r="A2492" s="279">
        <f t="shared" si="2590"/>
        <v>45343</v>
      </c>
      <c r="B2492" s="280" t="s">
        <v>193</v>
      </c>
      <c r="C2492" s="197"/>
      <c r="D2492" s="197"/>
      <c r="E2492" s="197"/>
      <c r="F2492" s="197"/>
      <c r="G2492" s="198"/>
      <c r="H2492" s="199"/>
      <c r="I2492" s="199"/>
      <c r="J2492" s="200"/>
      <c r="K2492" s="201"/>
      <c r="L2492" s="276"/>
      <c r="M2492" s="276"/>
      <c r="N2492" s="235"/>
      <c r="O2492" s="235"/>
      <c r="P2492" s="235"/>
      <c r="Q2492" s="235"/>
      <c r="R2492" s="235"/>
      <c r="S2492" s="236"/>
      <c r="T2492" s="236"/>
      <c r="U2492" s="236"/>
      <c r="V2492" s="235"/>
      <c r="W2492" s="235"/>
      <c r="X2492" s="235"/>
      <c r="Y2492" s="235"/>
      <c r="Z2492" s="235"/>
    </row>
    <row r="2493" spans="1:26" ht="18" customHeight="1" x14ac:dyDescent="0.2">
      <c r="A2493" s="279">
        <f t="shared" si="2590"/>
        <v>45344</v>
      </c>
      <c r="B2493" s="280" t="s">
        <v>194</v>
      </c>
      <c r="C2493" s="197"/>
      <c r="D2493" s="197"/>
      <c r="E2493" s="197"/>
      <c r="F2493" s="197"/>
      <c r="G2493" s="198"/>
      <c r="H2493" s="199"/>
      <c r="I2493" s="199"/>
      <c r="J2493" s="200"/>
      <c r="K2493" s="201"/>
      <c r="L2493" s="276"/>
      <c r="M2493" s="276"/>
      <c r="N2493" s="235"/>
      <c r="O2493" s="235"/>
      <c r="P2493" s="235"/>
      <c r="Q2493" s="235"/>
      <c r="R2493" s="235"/>
      <c r="S2493" s="236"/>
      <c r="T2493" s="236"/>
      <c r="U2493" s="236"/>
      <c r="V2493" s="235"/>
      <c r="W2493" s="235"/>
      <c r="X2493" s="235"/>
      <c r="Y2493" s="235"/>
      <c r="Z2493" s="235"/>
    </row>
    <row r="2494" spans="1:26" ht="18" customHeight="1" x14ac:dyDescent="0.2">
      <c r="A2494" s="279">
        <f t="shared" si="2590"/>
        <v>45345</v>
      </c>
      <c r="B2494" s="278" t="s">
        <v>189</v>
      </c>
      <c r="C2494" s="197"/>
      <c r="D2494" s="197"/>
      <c r="E2494" s="197"/>
      <c r="F2494" s="197"/>
      <c r="G2494" s="198"/>
      <c r="H2494" s="199"/>
      <c r="I2494" s="199"/>
      <c r="J2494" s="200"/>
      <c r="K2494" s="201"/>
      <c r="L2494" s="276"/>
      <c r="M2494" s="276"/>
      <c r="N2494" s="235"/>
      <c r="O2494" s="235"/>
      <c r="P2494" s="235"/>
      <c r="Q2494" s="235"/>
      <c r="R2494" s="235"/>
      <c r="S2494" s="236"/>
      <c r="T2494" s="236"/>
      <c r="U2494" s="236"/>
      <c r="V2494" s="235"/>
      <c r="W2494" s="235"/>
      <c r="X2494" s="235"/>
      <c r="Y2494" s="235"/>
      <c r="Z2494" s="235"/>
    </row>
    <row r="2495" spans="1:26" ht="18" customHeight="1" x14ac:dyDescent="0.2">
      <c r="A2495" s="279">
        <f t="shared" si="2590"/>
        <v>45346</v>
      </c>
      <c r="B2495" s="279" t="s">
        <v>195</v>
      </c>
      <c r="C2495" s="197"/>
      <c r="D2495" s="197"/>
      <c r="E2495" s="197"/>
      <c r="F2495" s="197"/>
      <c r="G2495" s="198"/>
      <c r="H2495" s="199"/>
      <c r="I2495" s="199"/>
      <c r="J2495" s="200"/>
      <c r="K2495" s="201"/>
      <c r="L2495" s="276"/>
      <c r="M2495" s="276"/>
      <c r="N2495" s="235"/>
      <c r="O2495" s="235"/>
      <c r="P2495" s="235"/>
      <c r="Q2495" s="235"/>
      <c r="R2495" s="235"/>
      <c r="S2495" s="236"/>
      <c r="T2495" s="236"/>
      <c r="U2495" s="236"/>
      <c r="V2495" s="235"/>
      <c r="W2495" s="235"/>
      <c r="X2495" s="235"/>
      <c r="Y2495" s="235"/>
      <c r="Z2495" s="235"/>
    </row>
    <row r="2496" spans="1:26" ht="18" customHeight="1" x14ac:dyDescent="0.2">
      <c r="A2496" s="279">
        <f t="shared" si="2590"/>
        <v>45347</v>
      </c>
      <c r="B2496" s="278" t="s">
        <v>190</v>
      </c>
      <c r="C2496" s="197"/>
      <c r="D2496" s="197"/>
      <c r="E2496" s="197"/>
      <c r="F2496" s="197"/>
      <c r="G2496" s="198"/>
      <c r="H2496" s="199"/>
      <c r="I2496" s="199"/>
      <c r="J2496" s="200"/>
      <c r="K2496" s="201"/>
      <c r="L2496" s="276"/>
      <c r="M2496" s="276"/>
      <c r="N2496" s="235"/>
      <c r="O2496" s="235"/>
      <c r="P2496" s="235"/>
      <c r="Q2496" s="235"/>
      <c r="R2496" s="235"/>
      <c r="S2496" s="236"/>
      <c r="T2496" s="236"/>
      <c r="U2496" s="236"/>
      <c r="V2496" s="235"/>
      <c r="W2496" s="235"/>
      <c r="X2496" s="235"/>
      <c r="Y2496" s="235"/>
      <c r="Z2496" s="235"/>
    </row>
    <row r="2497" spans="1:26" ht="18" customHeight="1" x14ac:dyDescent="0.2">
      <c r="A2497" s="279">
        <f t="shared" si="2590"/>
        <v>45348</v>
      </c>
      <c r="B2497" s="280" t="s">
        <v>191</v>
      </c>
      <c r="C2497" s="197"/>
      <c r="D2497" s="197"/>
      <c r="E2497" s="197"/>
      <c r="F2497" s="197"/>
      <c r="G2497" s="198"/>
      <c r="H2497" s="199"/>
      <c r="I2497" s="199"/>
      <c r="J2497" s="200"/>
      <c r="K2497" s="201"/>
      <c r="L2497" s="276"/>
      <c r="M2497" s="276"/>
      <c r="N2497" s="235"/>
      <c r="O2497" s="235"/>
      <c r="P2497" s="235"/>
      <c r="Q2497" s="235"/>
      <c r="R2497" s="235"/>
      <c r="S2497" s="236"/>
      <c r="T2497" s="236"/>
      <c r="U2497" s="236"/>
      <c r="V2497" s="235"/>
      <c r="W2497" s="235"/>
      <c r="X2497" s="235"/>
      <c r="Y2497" s="235"/>
      <c r="Z2497" s="235"/>
    </row>
    <row r="2498" spans="1:26" ht="18" customHeight="1" x14ac:dyDescent="0.2">
      <c r="A2498" s="279">
        <f t="shared" si="2590"/>
        <v>45349</v>
      </c>
      <c r="B2498" s="280" t="s">
        <v>192</v>
      </c>
      <c r="C2498" s="197"/>
      <c r="D2498" s="197"/>
      <c r="E2498" s="197"/>
      <c r="F2498" s="197"/>
      <c r="G2498" s="198"/>
      <c r="H2498" s="199"/>
      <c r="I2498" s="199"/>
      <c r="J2498" s="200"/>
      <c r="K2498" s="201"/>
      <c r="L2498" s="276"/>
      <c r="M2498" s="276"/>
      <c r="N2498" s="235"/>
      <c r="O2498" s="235"/>
      <c r="P2498" s="235"/>
      <c r="Q2498" s="235"/>
      <c r="R2498" s="235"/>
      <c r="S2498" s="236"/>
      <c r="T2498" s="236"/>
      <c r="U2498" s="236"/>
      <c r="V2498" s="235"/>
      <c r="W2498" s="235"/>
      <c r="X2498" s="235"/>
      <c r="Y2498" s="235"/>
      <c r="Z2498" s="235"/>
    </row>
    <row r="2499" spans="1:26" ht="18" customHeight="1" x14ac:dyDescent="0.2">
      <c r="A2499" s="279">
        <f t="shared" si="2590"/>
        <v>45350</v>
      </c>
      <c r="B2499" s="280" t="s">
        <v>193</v>
      </c>
      <c r="C2499" s="197"/>
      <c r="D2499" s="197"/>
      <c r="E2499" s="197"/>
      <c r="F2499" s="197"/>
      <c r="G2499" s="198"/>
      <c r="H2499" s="199"/>
      <c r="I2499" s="199"/>
      <c r="J2499" s="200"/>
      <c r="K2499" s="201"/>
      <c r="L2499" s="276"/>
      <c r="M2499" s="276"/>
      <c r="N2499" s="235"/>
      <c r="O2499" s="235"/>
      <c r="P2499" s="235"/>
      <c r="Q2499" s="235"/>
      <c r="R2499" s="235"/>
      <c r="S2499" s="236"/>
      <c r="T2499" s="236"/>
      <c r="U2499" s="236"/>
      <c r="V2499" s="235"/>
      <c r="W2499" s="235"/>
      <c r="X2499" s="235"/>
      <c r="Y2499" s="235"/>
      <c r="Z2499" s="235"/>
    </row>
    <row r="2500" spans="1:26" ht="18" customHeight="1" x14ac:dyDescent="0.2">
      <c r="A2500" s="279">
        <f t="shared" si="2590"/>
        <v>45351</v>
      </c>
      <c r="B2500" s="280" t="s">
        <v>194</v>
      </c>
      <c r="C2500" s="197"/>
      <c r="D2500" s="197"/>
      <c r="E2500" s="197"/>
      <c r="F2500" s="197"/>
      <c r="G2500" s="198"/>
      <c r="H2500" s="199"/>
      <c r="I2500" s="199"/>
      <c r="J2500" s="200"/>
      <c r="K2500" s="201"/>
      <c r="L2500" s="276"/>
      <c r="M2500" s="276"/>
      <c r="N2500" s="235"/>
      <c r="O2500" s="235"/>
      <c r="P2500" s="235"/>
      <c r="Q2500" s="235"/>
      <c r="R2500" s="235"/>
      <c r="S2500" s="236"/>
      <c r="T2500" s="236"/>
      <c r="U2500" s="236"/>
      <c r="V2500" s="235"/>
      <c r="W2500" s="235"/>
      <c r="X2500" s="235"/>
      <c r="Y2500" s="235"/>
      <c r="Z2500" s="235"/>
    </row>
    <row r="2501" spans="1:26" ht="18" customHeight="1" x14ac:dyDescent="0.2">
      <c r="A2501" s="279">
        <f t="shared" si="2590"/>
        <v>45352</v>
      </c>
      <c r="B2501" s="278" t="s">
        <v>189</v>
      </c>
      <c r="C2501" s="197"/>
      <c r="D2501" s="197"/>
      <c r="E2501" s="197"/>
      <c r="F2501" s="197"/>
      <c r="G2501" s="198"/>
      <c r="H2501" s="199"/>
      <c r="I2501" s="199"/>
      <c r="J2501" s="200"/>
      <c r="K2501" s="201"/>
      <c r="L2501" s="276"/>
      <c r="M2501" s="276"/>
      <c r="N2501" s="235"/>
      <c r="O2501" s="235"/>
      <c r="P2501" s="235"/>
      <c r="Q2501" s="235"/>
      <c r="R2501" s="235"/>
      <c r="S2501" s="236"/>
      <c r="T2501" s="236"/>
      <c r="U2501" s="236"/>
      <c r="V2501" s="235"/>
      <c r="W2501" s="235"/>
      <c r="X2501" s="235"/>
      <c r="Y2501" s="235"/>
      <c r="Z2501" s="235"/>
    </row>
    <row r="2502" spans="1:26" ht="18" customHeight="1" x14ac:dyDescent="0.2">
      <c r="A2502" s="279">
        <f t="shared" si="2590"/>
        <v>45353</v>
      </c>
      <c r="B2502" s="279" t="s">
        <v>195</v>
      </c>
      <c r="C2502" s="197"/>
      <c r="D2502" s="197"/>
      <c r="E2502" s="197"/>
      <c r="F2502" s="197"/>
      <c r="G2502" s="198"/>
      <c r="H2502" s="199"/>
      <c r="I2502" s="199"/>
      <c r="J2502" s="200"/>
      <c r="K2502" s="201"/>
      <c r="L2502" s="276"/>
      <c r="M2502" s="276"/>
      <c r="N2502" s="235"/>
      <c r="O2502" s="235"/>
      <c r="P2502" s="235"/>
      <c r="Q2502" s="235"/>
      <c r="R2502" s="235"/>
      <c r="S2502" s="236"/>
      <c r="T2502" s="236"/>
      <c r="U2502" s="236"/>
      <c r="V2502" s="235"/>
      <c r="W2502" s="235"/>
      <c r="X2502" s="235"/>
      <c r="Y2502" s="235"/>
      <c r="Z2502" s="235"/>
    </row>
    <row r="2503" spans="1:26" ht="18" customHeight="1" x14ac:dyDescent="0.2">
      <c r="A2503" s="279">
        <f t="shared" si="2590"/>
        <v>45354</v>
      </c>
      <c r="B2503" s="278" t="s">
        <v>190</v>
      </c>
      <c r="C2503" s="197"/>
      <c r="D2503" s="197"/>
      <c r="E2503" s="197"/>
      <c r="F2503" s="197"/>
      <c r="G2503" s="198"/>
      <c r="H2503" s="199"/>
      <c r="I2503" s="199"/>
      <c r="J2503" s="200"/>
      <c r="K2503" s="201"/>
      <c r="L2503" s="276"/>
      <c r="M2503" s="276"/>
      <c r="N2503" s="235"/>
      <c r="O2503" s="235"/>
      <c r="P2503" s="235"/>
      <c r="Q2503" s="235"/>
      <c r="R2503" s="235"/>
      <c r="S2503" s="236"/>
      <c r="T2503" s="236"/>
      <c r="U2503" s="236"/>
      <c r="V2503" s="235"/>
      <c r="W2503" s="235"/>
      <c r="X2503" s="235"/>
      <c r="Y2503" s="235"/>
      <c r="Z2503" s="235"/>
    </row>
    <row r="2504" spans="1:26" ht="18" customHeight="1" x14ac:dyDescent="0.2">
      <c r="A2504" s="279">
        <f t="shared" si="2590"/>
        <v>45355</v>
      </c>
      <c r="B2504" s="280" t="s">
        <v>191</v>
      </c>
      <c r="C2504" s="197"/>
      <c r="D2504" s="197"/>
      <c r="E2504" s="197"/>
      <c r="F2504" s="197"/>
      <c r="G2504" s="198"/>
      <c r="H2504" s="199"/>
      <c r="I2504" s="199"/>
      <c r="J2504" s="200"/>
      <c r="K2504" s="201"/>
      <c r="L2504" s="276"/>
      <c r="M2504" s="276"/>
      <c r="N2504" s="235"/>
      <c r="O2504" s="235"/>
      <c r="P2504" s="235"/>
      <c r="Q2504" s="235"/>
      <c r="R2504" s="235"/>
      <c r="S2504" s="236"/>
      <c r="T2504" s="236"/>
      <c r="U2504" s="236"/>
      <c r="V2504" s="235"/>
      <c r="W2504" s="235"/>
      <c r="X2504" s="235"/>
      <c r="Y2504" s="235"/>
      <c r="Z2504" s="235"/>
    </row>
    <row r="2505" spans="1:26" ht="18" customHeight="1" x14ac:dyDescent="0.2">
      <c r="A2505" s="279">
        <f t="shared" si="2590"/>
        <v>45356</v>
      </c>
      <c r="B2505" s="280" t="s">
        <v>192</v>
      </c>
      <c r="C2505" s="197"/>
      <c r="D2505" s="197"/>
      <c r="E2505" s="197"/>
      <c r="F2505" s="197"/>
      <c r="G2505" s="198"/>
      <c r="H2505" s="199"/>
      <c r="I2505" s="199"/>
      <c r="J2505" s="200"/>
      <c r="K2505" s="201"/>
      <c r="L2505" s="276"/>
      <c r="M2505" s="276"/>
      <c r="N2505" s="235"/>
      <c r="O2505" s="235"/>
      <c r="P2505" s="235"/>
      <c r="Q2505" s="235"/>
      <c r="R2505" s="235"/>
      <c r="S2505" s="236"/>
      <c r="T2505" s="236"/>
      <c r="U2505" s="236"/>
      <c r="V2505" s="235"/>
      <c r="W2505" s="235"/>
      <c r="X2505" s="235"/>
      <c r="Y2505" s="235"/>
      <c r="Z2505" s="235"/>
    </row>
    <row r="2506" spans="1:26" ht="18" customHeight="1" x14ac:dyDescent="0.2">
      <c r="A2506" s="279">
        <f t="shared" si="2590"/>
        <v>45357</v>
      </c>
      <c r="B2506" s="280" t="s">
        <v>193</v>
      </c>
      <c r="C2506" s="197"/>
      <c r="D2506" s="197"/>
      <c r="E2506" s="197"/>
      <c r="F2506" s="197"/>
      <c r="G2506" s="198"/>
      <c r="H2506" s="199"/>
      <c r="I2506" s="199"/>
      <c r="J2506" s="200"/>
      <c r="K2506" s="201"/>
      <c r="L2506" s="276"/>
      <c r="M2506" s="276"/>
      <c r="N2506" s="235"/>
      <c r="O2506" s="235"/>
      <c r="P2506" s="235"/>
      <c r="Q2506" s="235"/>
      <c r="R2506" s="235"/>
      <c r="S2506" s="236"/>
      <c r="T2506" s="236"/>
      <c r="U2506" s="236"/>
      <c r="V2506" s="235"/>
      <c r="W2506" s="235"/>
      <c r="X2506" s="235"/>
      <c r="Y2506" s="235"/>
      <c r="Z2506" s="235"/>
    </row>
    <row r="2507" spans="1:26" ht="18" customHeight="1" x14ac:dyDescent="0.2">
      <c r="A2507" s="279">
        <f t="shared" si="2590"/>
        <v>45358</v>
      </c>
      <c r="B2507" s="280" t="s">
        <v>194</v>
      </c>
      <c r="C2507" s="197"/>
      <c r="D2507" s="197"/>
      <c r="E2507" s="197"/>
      <c r="F2507" s="197"/>
      <c r="G2507" s="198"/>
      <c r="H2507" s="199"/>
      <c r="I2507" s="199"/>
      <c r="J2507" s="200"/>
      <c r="K2507" s="201"/>
      <c r="L2507" s="276"/>
      <c r="M2507" s="276"/>
      <c r="N2507" s="235"/>
      <c r="O2507" s="235"/>
      <c r="P2507" s="235"/>
      <c r="Q2507" s="235"/>
      <c r="R2507" s="235"/>
      <c r="S2507" s="236"/>
      <c r="T2507" s="236"/>
      <c r="U2507" s="236"/>
      <c r="V2507" s="235"/>
      <c r="W2507" s="235"/>
      <c r="X2507" s="235"/>
      <c r="Y2507" s="235"/>
      <c r="Z2507" s="235"/>
    </row>
    <row r="2508" spans="1:26" ht="18" customHeight="1" x14ac:dyDescent="0.2">
      <c r="A2508" s="279">
        <f t="shared" si="2590"/>
        <v>45359</v>
      </c>
      <c r="B2508" s="278" t="s">
        <v>189</v>
      </c>
      <c r="C2508" s="197"/>
      <c r="D2508" s="197"/>
      <c r="E2508" s="197"/>
      <c r="F2508" s="197"/>
      <c r="G2508" s="198"/>
      <c r="H2508" s="199"/>
      <c r="I2508" s="199"/>
      <c r="J2508" s="200"/>
      <c r="K2508" s="201"/>
      <c r="L2508" s="276"/>
      <c r="M2508" s="276"/>
      <c r="N2508" s="235"/>
      <c r="O2508" s="235"/>
      <c r="P2508" s="235"/>
      <c r="Q2508" s="235"/>
      <c r="R2508" s="235"/>
      <c r="S2508" s="236"/>
      <c r="T2508" s="236"/>
      <c r="U2508" s="236"/>
      <c r="V2508" s="235"/>
      <c r="W2508" s="235"/>
      <c r="X2508" s="235"/>
      <c r="Y2508" s="235"/>
      <c r="Z2508" s="235"/>
    </row>
    <row r="2509" spans="1:26" ht="18" customHeight="1" x14ac:dyDescent="0.2">
      <c r="A2509" s="279">
        <f t="shared" si="2590"/>
        <v>45360</v>
      </c>
      <c r="B2509" s="279" t="s">
        <v>195</v>
      </c>
      <c r="C2509" s="197"/>
      <c r="D2509" s="197"/>
      <c r="E2509" s="197"/>
      <c r="F2509" s="197"/>
      <c r="G2509" s="198"/>
      <c r="H2509" s="199"/>
      <c r="I2509" s="199"/>
      <c r="J2509" s="200"/>
      <c r="K2509" s="201"/>
      <c r="L2509" s="276"/>
      <c r="M2509" s="276"/>
      <c r="N2509" s="235"/>
      <c r="O2509" s="235"/>
      <c r="P2509" s="235"/>
      <c r="Q2509" s="235"/>
      <c r="R2509" s="235"/>
      <c r="S2509" s="236"/>
      <c r="T2509" s="236"/>
      <c r="U2509" s="236"/>
      <c r="V2509" s="235"/>
      <c r="W2509" s="235"/>
      <c r="X2509" s="235"/>
      <c r="Y2509" s="235"/>
      <c r="Z2509" s="235"/>
    </row>
    <row r="2510" spans="1:26" ht="18" customHeight="1" x14ac:dyDescent="0.2">
      <c r="A2510" s="279">
        <f t="shared" si="2590"/>
        <v>45361</v>
      </c>
      <c r="B2510" s="278" t="s">
        <v>190</v>
      </c>
      <c r="C2510" s="197"/>
      <c r="D2510" s="197"/>
      <c r="E2510" s="197"/>
      <c r="F2510" s="197"/>
      <c r="G2510" s="198"/>
      <c r="H2510" s="199"/>
      <c r="I2510" s="199"/>
      <c r="J2510" s="200"/>
      <c r="K2510" s="201"/>
      <c r="L2510" s="276"/>
      <c r="M2510" s="276"/>
      <c r="N2510" s="235"/>
      <c r="O2510" s="235"/>
      <c r="P2510" s="235"/>
      <c r="Q2510" s="235"/>
      <c r="R2510" s="235"/>
      <c r="S2510" s="236"/>
      <c r="T2510" s="236"/>
      <c r="U2510" s="236"/>
      <c r="V2510" s="235"/>
      <c r="W2510" s="235"/>
      <c r="X2510" s="235"/>
      <c r="Y2510" s="235"/>
      <c r="Z2510" s="235"/>
    </row>
    <row r="2511" spans="1:26" ht="18" customHeight="1" x14ac:dyDescent="0.2">
      <c r="A2511" s="279">
        <f t="shared" si="2590"/>
        <v>45362</v>
      </c>
      <c r="B2511" s="280" t="s">
        <v>191</v>
      </c>
      <c r="C2511" s="197"/>
      <c r="D2511" s="197"/>
      <c r="E2511" s="197"/>
      <c r="F2511" s="197"/>
      <c r="G2511" s="198"/>
      <c r="H2511" s="199"/>
      <c r="I2511" s="199"/>
      <c r="J2511" s="200"/>
      <c r="K2511" s="201"/>
      <c r="L2511" s="276"/>
      <c r="M2511" s="276"/>
      <c r="N2511" s="235"/>
      <c r="O2511" s="235"/>
      <c r="P2511" s="235"/>
      <c r="Q2511" s="235"/>
      <c r="R2511" s="235"/>
      <c r="S2511" s="236"/>
      <c r="T2511" s="236"/>
      <c r="U2511" s="236"/>
      <c r="V2511" s="235"/>
      <c r="W2511" s="235"/>
      <c r="X2511" s="235"/>
      <c r="Y2511" s="235"/>
      <c r="Z2511" s="235"/>
    </row>
    <row r="2512" spans="1:26" ht="18" customHeight="1" x14ac:dyDescent="0.2">
      <c r="A2512" s="279">
        <f t="shared" si="2590"/>
        <v>45363</v>
      </c>
      <c r="B2512" s="280" t="s">
        <v>192</v>
      </c>
      <c r="C2512" s="197"/>
      <c r="D2512" s="197"/>
      <c r="E2512" s="197"/>
      <c r="F2512" s="197"/>
      <c r="G2512" s="198"/>
      <c r="H2512" s="199"/>
      <c r="I2512" s="199"/>
      <c r="J2512" s="200"/>
      <c r="K2512" s="201"/>
      <c r="L2512" s="276"/>
      <c r="M2512" s="276"/>
      <c r="N2512" s="235"/>
      <c r="O2512" s="235"/>
      <c r="P2512" s="235"/>
      <c r="Q2512" s="235"/>
      <c r="R2512" s="235"/>
      <c r="S2512" s="236"/>
      <c r="T2512" s="236"/>
      <c r="U2512" s="236"/>
      <c r="V2512" s="235"/>
      <c r="W2512" s="235"/>
      <c r="X2512" s="235"/>
      <c r="Y2512" s="235"/>
      <c r="Z2512" s="235"/>
    </row>
    <row r="2513" spans="1:26" ht="18" customHeight="1" x14ac:dyDescent="0.2">
      <c r="A2513" s="279">
        <f t="shared" si="2590"/>
        <v>45364</v>
      </c>
      <c r="B2513" s="280" t="s">
        <v>193</v>
      </c>
      <c r="C2513" s="197"/>
      <c r="D2513" s="197"/>
      <c r="E2513" s="197"/>
      <c r="F2513" s="197"/>
      <c r="G2513" s="198"/>
      <c r="H2513" s="199"/>
      <c r="I2513" s="199"/>
      <c r="J2513" s="200"/>
      <c r="K2513" s="201"/>
      <c r="L2513" s="276"/>
      <c r="M2513" s="276"/>
      <c r="N2513" s="235"/>
      <c r="O2513" s="235"/>
      <c r="P2513" s="235"/>
      <c r="Q2513" s="235"/>
      <c r="R2513" s="235"/>
      <c r="S2513" s="236"/>
      <c r="T2513" s="236"/>
      <c r="U2513" s="236"/>
      <c r="V2513" s="235"/>
      <c r="W2513" s="235"/>
      <c r="X2513" s="235"/>
      <c r="Y2513" s="235"/>
      <c r="Z2513" s="235"/>
    </row>
    <row r="2514" spans="1:26" ht="18" customHeight="1" x14ac:dyDescent="0.2">
      <c r="A2514" s="279">
        <f t="shared" si="2590"/>
        <v>45365</v>
      </c>
      <c r="B2514" s="280" t="s">
        <v>194</v>
      </c>
      <c r="C2514" s="197"/>
      <c r="D2514" s="197"/>
      <c r="E2514" s="197"/>
      <c r="F2514" s="197"/>
      <c r="G2514" s="198"/>
      <c r="H2514" s="199"/>
      <c r="I2514" s="199"/>
      <c r="J2514" s="200"/>
      <c r="K2514" s="201"/>
      <c r="L2514" s="276"/>
      <c r="M2514" s="276"/>
      <c r="N2514" s="235"/>
      <c r="O2514" s="235"/>
      <c r="P2514" s="235"/>
      <c r="Q2514" s="235"/>
      <c r="R2514" s="235"/>
      <c r="S2514" s="236"/>
      <c r="T2514" s="236"/>
      <c r="U2514" s="236"/>
      <c r="V2514" s="235"/>
      <c r="W2514" s="235"/>
      <c r="X2514" s="235"/>
      <c r="Y2514" s="235"/>
      <c r="Z2514" s="235"/>
    </row>
    <row r="2515" spans="1:26" ht="18" customHeight="1" x14ac:dyDescent="0.2">
      <c r="A2515" s="279">
        <f t="shared" si="2590"/>
        <v>45366</v>
      </c>
      <c r="B2515" s="278" t="s">
        <v>189</v>
      </c>
      <c r="C2515" s="197"/>
      <c r="D2515" s="197"/>
      <c r="E2515" s="197"/>
      <c r="F2515" s="197"/>
      <c r="G2515" s="198"/>
      <c r="H2515" s="199"/>
      <c r="I2515" s="199"/>
      <c r="J2515" s="200"/>
      <c r="K2515" s="201"/>
      <c r="L2515" s="276"/>
      <c r="M2515" s="276"/>
      <c r="N2515" s="235"/>
      <c r="O2515" s="235"/>
      <c r="P2515" s="235"/>
      <c r="Q2515" s="235"/>
      <c r="R2515" s="235"/>
      <c r="S2515" s="236"/>
      <c r="T2515" s="236"/>
      <c r="U2515" s="236"/>
      <c r="V2515" s="235"/>
      <c r="W2515" s="235"/>
      <c r="X2515" s="235"/>
      <c r="Y2515" s="235"/>
      <c r="Z2515" s="235"/>
    </row>
    <row r="2516" spans="1:26" ht="18" customHeight="1" x14ac:dyDescent="0.2">
      <c r="A2516" s="279">
        <f t="shared" si="2590"/>
        <v>45367</v>
      </c>
      <c r="B2516" s="279" t="s">
        <v>195</v>
      </c>
      <c r="C2516" s="197"/>
      <c r="D2516" s="197"/>
      <c r="E2516" s="197"/>
      <c r="F2516" s="197"/>
      <c r="G2516" s="198"/>
      <c r="H2516" s="199"/>
      <c r="I2516" s="199"/>
      <c r="J2516" s="200"/>
      <c r="K2516" s="201"/>
      <c r="L2516" s="276"/>
      <c r="M2516" s="276"/>
      <c r="N2516" s="235"/>
      <c r="O2516" s="235"/>
      <c r="P2516" s="235"/>
      <c r="Q2516" s="235"/>
      <c r="R2516" s="235"/>
      <c r="S2516" s="236"/>
      <c r="T2516" s="236"/>
      <c r="U2516" s="236"/>
      <c r="V2516" s="235"/>
      <c r="W2516" s="235"/>
      <c r="X2516" s="235"/>
      <c r="Y2516" s="235"/>
      <c r="Z2516" s="235"/>
    </row>
    <row r="2517" spans="1:26" ht="18" customHeight="1" x14ac:dyDescent="0.2">
      <c r="A2517" s="279">
        <f t="shared" si="2590"/>
        <v>45368</v>
      </c>
      <c r="B2517" s="278" t="s">
        <v>190</v>
      </c>
      <c r="C2517" s="197"/>
      <c r="D2517" s="197"/>
      <c r="E2517" s="197"/>
      <c r="F2517" s="197"/>
      <c r="G2517" s="198"/>
      <c r="H2517" s="199"/>
      <c r="I2517" s="199"/>
      <c r="J2517" s="200"/>
      <c r="K2517" s="201"/>
      <c r="L2517" s="276"/>
      <c r="M2517" s="276"/>
      <c r="N2517" s="235"/>
      <c r="O2517" s="235"/>
      <c r="P2517" s="235"/>
      <c r="Q2517" s="235"/>
      <c r="R2517" s="235"/>
      <c r="S2517" s="236"/>
      <c r="T2517" s="236"/>
      <c r="U2517" s="236"/>
      <c r="V2517" s="235"/>
      <c r="W2517" s="235"/>
      <c r="X2517" s="235"/>
      <c r="Y2517" s="235"/>
      <c r="Z2517" s="235"/>
    </row>
    <row r="2518" spans="1:26" ht="18" customHeight="1" x14ac:dyDescent="0.2">
      <c r="A2518" s="279">
        <f t="shared" si="2590"/>
        <v>45369</v>
      </c>
      <c r="B2518" s="280" t="s">
        <v>191</v>
      </c>
      <c r="C2518" s="197"/>
      <c r="D2518" s="197"/>
      <c r="E2518" s="197"/>
      <c r="F2518" s="197"/>
      <c r="G2518" s="198"/>
      <c r="H2518" s="199"/>
      <c r="I2518" s="199"/>
      <c r="J2518" s="200"/>
      <c r="K2518" s="201"/>
      <c r="L2518" s="276"/>
      <c r="M2518" s="276"/>
      <c r="N2518" s="235"/>
      <c r="O2518" s="235"/>
      <c r="P2518" s="235"/>
      <c r="Q2518" s="235"/>
      <c r="R2518" s="235"/>
      <c r="S2518" s="236"/>
      <c r="T2518" s="236"/>
      <c r="U2518" s="236"/>
      <c r="V2518" s="235"/>
      <c r="W2518" s="235"/>
      <c r="X2518" s="235"/>
      <c r="Y2518" s="235"/>
      <c r="Z2518" s="235"/>
    </row>
    <row r="2519" spans="1:26" ht="18" customHeight="1" x14ac:dyDescent="0.2">
      <c r="A2519" s="279">
        <f t="shared" si="2590"/>
        <v>45370</v>
      </c>
      <c r="B2519" s="280" t="s">
        <v>192</v>
      </c>
      <c r="C2519" s="197"/>
      <c r="D2519" s="197"/>
      <c r="E2519" s="197"/>
      <c r="F2519" s="197"/>
      <c r="G2519" s="198"/>
      <c r="H2519" s="199"/>
      <c r="I2519" s="199"/>
      <c r="J2519" s="200"/>
      <c r="K2519" s="201"/>
      <c r="L2519" s="276"/>
      <c r="M2519" s="276"/>
      <c r="N2519" s="235"/>
      <c r="O2519" s="235"/>
      <c r="P2519" s="235"/>
      <c r="Q2519" s="235"/>
      <c r="R2519" s="235"/>
      <c r="S2519" s="236"/>
      <c r="T2519" s="236"/>
      <c r="U2519" s="236"/>
      <c r="V2519" s="235"/>
      <c r="W2519" s="235"/>
      <c r="X2519" s="235"/>
      <c r="Y2519" s="235"/>
      <c r="Z2519" s="235"/>
    </row>
    <row r="2520" spans="1:26" ht="18" customHeight="1" x14ac:dyDescent="0.2">
      <c r="A2520" s="279">
        <f t="shared" si="2590"/>
        <v>45371</v>
      </c>
      <c r="B2520" s="280" t="s">
        <v>193</v>
      </c>
      <c r="C2520" s="197"/>
      <c r="D2520" s="197"/>
      <c r="E2520" s="197"/>
      <c r="F2520" s="197"/>
      <c r="G2520" s="198"/>
      <c r="H2520" s="199"/>
      <c r="I2520" s="199"/>
      <c r="J2520" s="200"/>
      <c r="K2520" s="201"/>
      <c r="L2520" s="276"/>
      <c r="M2520" s="276"/>
      <c r="N2520" s="235"/>
      <c r="O2520" s="235"/>
      <c r="P2520" s="235"/>
      <c r="Q2520" s="235"/>
      <c r="R2520" s="235"/>
      <c r="S2520" s="236"/>
      <c r="T2520" s="236"/>
      <c r="U2520" s="236"/>
      <c r="V2520" s="235"/>
      <c r="W2520" s="235"/>
      <c r="X2520" s="235"/>
      <c r="Y2520" s="235"/>
      <c r="Z2520" s="235"/>
    </row>
    <row r="2521" spans="1:26" ht="18" customHeight="1" x14ac:dyDescent="0.2">
      <c r="A2521" s="279">
        <f t="shared" si="2590"/>
        <v>45372</v>
      </c>
      <c r="B2521" s="280" t="s">
        <v>194</v>
      </c>
      <c r="C2521" s="197"/>
      <c r="D2521" s="197"/>
      <c r="E2521" s="197"/>
      <c r="F2521" s="197"/>
      <c r="G2521" s="198"/>
      <c r="H2521" s="199"/>
      <c r="I2521" s="199"/>
      <c r="J2521" s="200"/>
      <c r="K2521" s="201"/>
      <c r="L2521" s="276"/>
      <c r="M2521" s="276"/>
      <c r="N2521" s="235"/>
      <c r="O2521" s="235"/>
      <c r="P2521" s="235"/>
      <c r="Q2521" s="235"/>
      <c r="R2521" s="235"/>
      <c r="S2521" s="236"/>
      <c r="T2521" s="236"/>
      <c r="U2521" s="236"/>
      <c r="V2521" s="235"/>
      <c r="W2521" s="235"/>
      <c r="X2521" s="235"/>
      <c r="Y2521" s="235"/>
      <c r="Z2521" s="235"/>
    </row>
    <row r="2522" spans="1:26" ht="18" customHeight="1" x14ac:dyDescent="0.2">
      <c r="A2522" s="279">
        <f t="shared" si="2590"/>
        <v>45373</v>
      </c>
      <c r="B2522" s="278" t="s">
        <v>189</v>
      </c>
      <c r="C2522" s="197"/>
      <c r="D2522" s="197"/>
      <c r="E2522" s="197"/>
      <c r="F2522" s="197"/>
      <c r="G2522" s="198"/>
      <c r="H2522" s="199"/>
      <c r="I2522" s="199"/>
      <c r="J2522" s="200"/>
      <c r="K2522" s="201"/>
      <c r="L2522" s="276"/>
      <c r="M2522" s="276"/>
      <c r="N2522" s="235"/>
      <c r="O2522" s="235"/>
      <c r="P2522" s="235"/>
      <c r="Q2522" s="235"/>
      <c r="R2522" s="235"/>
      <c r="S2522" s="236"/>
      <c r="T2522" s="236"/>
      <c r="U2522" s="236"/>
      <c r="V2522" s="235"/>
      <c r="W2522" s="235"/>
      <c r="X2522" s="235"/>
      <c r="Y2522" s="235"/>
      <c r="Z2522" s="235"/>
    </row>
    <row r="2523" spans="1:26" ht="18" customHeight="1" x14ac:dyDescent="0.2">
      <c r="A2523" s="279">
        <f t="shared" si="2590"/>
        <v>45374</v>
      </c>
      <c r="B2523" s="279" t="s">
        <v>195</v>
      </c>
      <c r="C2523" s="197"/>
      <c r="D2523" s="197"/>
      <c r="E2523" s="197"/>
      <c r="F2523" s="197"/>
      <c r="G2523" s="198"/>
      <c r="H2523" s="199"/>
      <c r="I2523" s="199"/>
      <c r="J2523" s="200"/>
      <c r="K2523" s="201"/>
      <c r="L2523" s="276"/>
      <c r="M2523" s="276"/>
      <c r="N2523" s="235"/>
      <c r="O2523" s="235"/>
      <c r="P2523" s="235"/>
      <c r="Q2523" s="235"/>
      <c r="R2523" s="235"/>
      <c r="S2523" s="236"/>
      <c r="T2523" s="236"/>
      <c r="U2523" s="236"/>
      <c r="V2523" s="235"/>
      <c r="W2523" s="235"/>
      <c r="X2523" s="235"/>
      <c r="Y2523" s="235"/>
      <c r="Z2523" s="235"/>
    </row>
    <row r="2524" spans="1:26" ht="18" customHeight="1" x14ac:dyDescent="0.2">
      <c r="A2524" s="279">
        <f t="shared" si="2590"/>
        <v>45375</v>
      </c>
      <c r="B2524" s="278" t="s">
        <v>190</v>
      </c>
      <c r="C2524" s="197"/>
      <c r="D2524" s="197"/>
      <c r="E2524" s="197"/>
      <c r="F2524" s="197"/>
      <c r="G2524" s="198"/>
      <c r="H2524" s="199"/>
      <c r="I2524" s="199"/>
      <c r="J2524" s="200"/>
      <c r="K2524" s="201"/>
      <c r="L2524" s="276"/>
      <c r="M2524" s="276"/>
      <c r="N2524" s="235"/>
      <c r="O2524" s="235"/>
      <c r="P2524" s="235"/>
      <c r="Q2524" s="235"/>
      <c r="R2524" s="235"/>
      <c r="S2524" s="236"/>
      <c r="T2524" s="236"/>
      <c r="U2524" s="236"/>
      <c r="V2524" s="235"/>
      <c r="W2524" s="235"/>
      <c r="X2524" s="235"/>
      <c r="Y2524" s="235"/>
      <c r="Z2524" s="235"/>
    </row>
    <row r="2525" spans="1:26" ht="18" customHeight="1" x14ac:dyDescent="0.2">
      <c r="A2525" s="279">
        <f t="shared" si="2590"/>
        <v>45376</v>
      </c>
      <c r="B2525" s="280" t="s">
        <v>191</v>
      </c>
      <c r="C2525" s="197"/>
      <c r="D2525" s="197"/>
      <c r="E2525" s="197"/>
      <c r="F2525" s="197"/>
      <c r="G2525" s="198"/>
      <c r="H2525" s="199"/>
      <c r="I2525" s="199"/>
      <c r="J2525" s="200"/>
      <c r="K2525" s="201"/>
      <c r="L2525" s="276"/>
      <c r="M2525" s="276"/>
      <c r="N2525" s="235"/>
      <c r="O2525" s="235"/>
      <c r="P2525" s="235"/>
      <c r="Q2525" s="235"/>
      <c r="R2525" s="235"/>
      <c r="S2525" s="236"/>
      <c r="T2525" s="236"/>
      <c r="U2525" s="236"/>
      <c r="V2525" s="235"/>
      <c r="W2525" s="235"/>
      <c r="X2525" s="235"/>
      <c r="Y2525" s="235"/>
      <c r="Z2525" s="235"/>
    </row>
    <row r="2526" spans="1:26" ht="18" customHeight="1" x14ac:dyDescent="0.2">
      <c r="A2526" s="279">
        <f t="shared" si="2590"/>
        <v>45377</v>
      </c>
      <c r="B2526" s="280" t="s">
        <v>192</v>
      </c>
      <c r="C2526" s="197"/>
      <c r="D2526" s="197"/>
      <c r="E2526" s="197"/>
      <c r="F2526" s="197"/>
      <c r="G2526" s="198"/>
      <c r="H2526" s="199"/>
      <c r="I2526" s="199"/>
      <c r="J2526" s="200"/>
      <c r="K2526" s="201"/>
      <c r="L2526" s="276"/>
      <c r="M2526" s="276"/>
      <c r="N2526" s="235"/>
      <c r="O2526" s="235"/>
      <c r="P2526" s="235"/>
      <c r="Q2526" s="235"/>
      <c r="R2526" s="235"/>
      <c r="S2526" s="236"/>
      <c r="T2526" s="236"/>
      <c r="U2526" s="236"/>
      <c r="V2526" s="235"/>
      <c r="W2526" s="235"/>
      <c r="X2526" s="235"/>
      <c r="Y2526" s="235"/>
      <c r="Z2526" s="235"/>
    </row>
    <row r="2527" spans="1:26" ht="18" customHeight="1" x14ac:dyDescent="0.2">
      <c r="A2527" s="279">
        <f t="shared" si="2590"/>
        <v>45378</v>
      </c>
      <c r="B2527" s="280" t="s">
        <v>193</v>
      </c>
      <c r="C2527" s="197"/>
      <c r="D2527" s="197"/>
      <c r="E2527" s="197"/>
      <c r="F2527" s="197"/>
      <c r="G2527" s="198"/>
      <c r="H2527" s="199"/>
      <c r="I2527" s="199"/>
      <c r="J2527" s="200"/>
      <c r="K2527" s="201"/>
      <c r="L2527" s="276"/>
      <c r="M2527" s="276"/>
      <c r="N2527" s="235"/>
      <c r="O2527" s="235"/>
      <c r="P2527" s="235"/>
      <c r="Q2527" s="235"/>
      <c r="R2527" s="235"/>
      <c r="S2527" s="236"/>
      <c r="T2527" s="236"/>
      <c r="U2527" s="236"/>
      <c r="V2527" s="235"/>
      <c r="W2527" s="235"/>
      <c r="X2527" s="235"/>
      <c r="Y2527" s="235"/>
      <c r="Z2527" s="235"/>
    </row>
    <row r="2528" spans="1:26" ht="18" customHeight="1" x14ac:dyDescent="0.2">
      <c r="A2528" s="279">
        <f t="shared" si="2590"/>
        <v>45379</v>
      </c>
      <c r="B2528" s="280" t="s">
        <v>194</v>
      </c>
      <c r="C2528" s="197"/>
      <c r="D2528" s="197"/>
      <c r="E2528" s="197"/>
      <c r="F2528" s="197"/>
      <c r="G2528" s="198"/>
      <c r="H2528" s="199"/>
      <c r="I2528" s="199"/>
      <c r="J2528" s="200"/>
      <c r="K2528" s="201"/>
      <c r="L2528" s="276"/>
      <c r="M2528" s="276"/>
      <c r="N2528" s="235"/>
      <c r="O2528" s="235"/>
      <c r="P2528" s="235"/>
      <c r="Q2528" s="235"/>
      <c r="R2528" s="235"/>
      <c r="S2528" s="236"/>
      <c r="T2528" s="236"/>
      <c r="U2528" s="236"/>
      <c r="V2528" s="235"/>
      <c r="W2528" s="235"/>
      <c r="X2528" s="235"/>
      <c r="Y2528" s="235"/>
      <c r="Z2528" s="235"/>
    </row>
    <row r="2529" spans="1:26" ht="18" customHeight="1" x14ac:dyDescent="0.2">
      <c r="A2529" s="279">
        <f t="shared" si="2590"/>
        <v>45380</v>
      </c>
      <c r="B2529" s="278" t="s">
        <v>189</v>
      </c>
      <c r="C2529" s="197"/>
      <c r="D2529" s="197"/>
      <c r="E2529" s="197"/>
      <c r="F2529" s="197"/>
      <c r="G2529" s="198"/>
      <c r="H2529" s="199"/>
      <c r="I2529" s="199"/>
      <c r="J2529" s="200"/>
      <c r="K2529" s="201"/>
      <c r="L2529" s="276"/>
      <c r="M2529" s="276"/>
      <c r="N2529" s="235"/>
      <c r="O2529" s="235"/>
      <c r="P2529" s="235"/>
      <c r="Q2529" s="235"/>
      <c r="R2529" s="235"/>
      <c r="S2529" s="236"/>
      <c r="T2529" s="236"/>
      <c r="U2529" s="236"/>
      <c r="V2529" s="235"/>
      <c r="W2529" s="235"/>
      <c r="X2529" s="235"/>
      <c r="Y2529" s="235"/>
      <c r="Z2529" s="235"/>
    </row>
    <row r="2530" spans="1:26" ht="18" customHeight="1" x14ac:dyDescent="0.2">
      <c r="A2530" s="279">
        <f t="shared" si="2590"/>
        <v>45381</v>
      </c>
      <c r="B2530" s="279" t="s">
        <v>195</v>
      </c>
      <c r="C2530" s="197"/>
      <c r="D2530" s="197"/>
      <c r="E2530" s="197"/>
      <c r="F2530" s="197"/>
      <c r="G2530" s="198"/>
      <c r="H2530" s="199"/>
      <c r="I2530" s="199"/>
      <c r="J2530" s="200"/>
      <c r="K2530" s="201"/>
      <c r="L2530" s="276"/>
      <c r="M2530" s="276"/>
      <c r="N2530" s="235"/>
      <c r="O2530" s="235"/>
      <c r="P2530" s="235"/>
      <c r="Q2530" s="235"/>
      <c r="R2530" s="235"/>
      <c r="S2530" s="236"/>
      <c r="T2530" s="236"/>
      <c r="U2530" s="236"/>
      <c r="V2530" s="235"/>
      <c r="W2530" s="235"/>
      <c r="X2530" s="235"/>
      <c r="Y2530" s="235"/>
      <c r="Z2530" s="235"/>
    </row>
    <row r="2531" spans="1:26" ht="18" customHeight="1" x14ac:dyDescent="0.2">
      <c r="A2531" s="279">
        <f t="shared" si="2590"/>
        <v>45382</v>
      </c>
      <c r="B2531" s="278" t="s">
        <v>190</v>
      </c>
      <c r="C2531" s="197"/>
      <c r="D2531" s="197"/>
      <c r="E2531" s="197"/>
      <c r="F2531" s="197"/>
      <c r="G2531" s="198"/>
      <c r="H2531" s="199"/>
      <c r="I2531" s="199"/>
      <c r="J2531" s="200"/>
      <c r="K2531" s="201"/>
      <c r="L2531" s="276"/>
      <c r="M2531" s="276"/>
      <c r="N2531" s="235"/>
      <c r="O2531" s="235"/>
      <c r="P2531" s="235"/>
      <c r="Q2531" s="235"/>
      <c r="R2531" s="235"/>
      <c r="S2531" s="236"/>
      <c r="T2531" s="236"/>
      <c r="U2531" s="236"/>
      <c r="V2531" s="235"/>
      <c r="W2531" s="235"/>
      <c r="X2531" s="235"/>
      <c r="Y2531" s="235"/>
      <c r="Z2531" s="235"/>
    </row>
    <row r="2532" spans="1:26" ht="18" customHeight="1" x14ac:dyDescent="0.2">
      <c r="A2532" s="279">
        <f t="shared" si="2590"/>
        <v>45383</v>
      </c>
      <c r="B2532" s="280" t="s">
        <v>191</v>
      </c>
      <c r="C2532" s="197"/>
      <c r="D2532" s="197"/>
      <c r="E2532" s="197"/>
      <c r="F2532" s="197"/>
      <c r="G2532" s="198"/>
      <c r="H2532" s="199"/>
      <c r="I2532" s="199"/>
      <c r="J2532" s="200"/>
      <c r="K2532" s="201"/>
      <c r="L2532" s="276"/>
      <c r="M2532" s="276"/>
      <c r="N2532" s="235"/>
      <c r="O2532" s="235"/>
      <c r="P2532" s="235"/>
      <c r="Q2532" s="235"/>
      <c r="R2532" s="235"/>
      <c r="S2532" s="236"/>
      <c r="T2532" s="236"/>
      <c r="U2532" s="236"/>
      <c r="V2532" s="235"/>
      <c r="W2532" s="235"/>
      <c r="X2532" s="235"/>
      <c r="Y2532" s="235"/>
      <c r="Z2532" s="235"/>
    </row>
    <row r="2533" spans="1:26" ht="18" customHeight="1" x14ac:dyDescent="0.2">
      <c r="A2533" s="279">
        <f t="shared" si="2590"/>
        <v>45384</v>
      </c>
      <c r="B2533" s="280" t="s">
        <v>192</v>
      </c>
      <c r="C2533" s="197"/>
      <c r="D2533" s="197"/>
      <c r="E2533" s="197"/>
      <c r="F2533" s="197"/>
      <c r="G2533" s="198"/>
      <c r="H2533" s="199"/>
      <c r="I2533" s="199"/>
      <c r="J2533" s="200"/>
      <c r="K2533" s="201"/>
      <c r="L2533" s="276"/>
      <c r="M2533" s="276"/>
      <c r="N2533" s="235"/>
      <c r="O2533" s="235"/>
      <c r="P2533" s="235"/>
      <c r="Q2533" s="235"/>
      <c r="R2533" s="235"/>
      <c r="S2533" s="236"/>
      <c r="T2533" s="236"/>
      <c r="U2533" s="236"/>
      <c r="V2533" s="235"/>
      <c r="W2533" s="235"/>
      <c r="X2533" s="235"/>
      <c r="Y2533" s="235"/>
      <c r="Z2533" s="235"/>
    </row>
    <row r="2534" spans="1:26" ht="18" customHeight="1" x14ac:dyDescent="0.2">
      <c r="A2534" s="279">
        <f t="shared" si="2590"/>
        <v>45385</v>
      </c>
      <c r="B2534" s="280" t="s">
        <v>193</v>
      </c>
      <c r="C2534" s="197"/>
      <c r="D2534" s="197"/>
      <c r="E2534" s="197"/>
      <c r="F2534" s="197"/>
      <c r="G2534" s="198"/>
      <c r="H2534" s="199"/>
      <c r="I2534" s="199"/>
      <c r="J2534" s="200"/>
      <c r="K2534" s="201"/>
      <c r="L2534" s="276"/>
      <c r="M2534" s="276"/>
      <c r="N2534" s="235"/>
      <c r="O2534" s="235"/>
      <c r="P2534" s="235"/>
      <c r="Q2534" s="235"/>
      <c r="R2534" s="235"/>
      <c r="S2534" s="236"/>
      <c r="T2534" s="236"/>
      <c r="U2534" s="236"/>
      <c r="V2534" s="235"/>
      <c r="W2534" s="235"/>
      <c r="X2534" s="235"/>
      <c r="Y2534" s="235"/>
      <c r="Z2534" s="235"/>
    </row>
    <row r="2535" spans="1:26" ht="18" customHeight="1" x14ac:dyDescent="0.2">
      <c r="A2535" s="279">
        <f t="shared" si="2590"/>
        <v>45386</v>
      </c>
      <c r="B2535" s="280" t="s">
        <v>194</v>
      </c>
      <c r="C2535" s="197"/>
      <c r="D2535" s="197"/>
      <c r="E2535" s="197"/>
      <c r="F2535" s="197"/>
      <c r="G2535" s="198"/>
      <c r="H2535" s="199"/>
      <c r="I2535" s="199"/>
      <c r="J2535" s="200"/>
      <c r="K2535" s="201"/>
      <c r="L2535" s="276"/>
      <c r="M2535" s="276"/>
      <c r="N2535" s="235"/>
      <c r="O2535" s="235"/>
      <c r="P2535" s="235"/>
      <c r="Q2535" s="235"/>
      <c r="R2535" s="235"/>
      <c r="S2535" s="236"/>
      <c r="T2535" s="236"/>
      <c r="U2535" s="236"/>
      <c r="V2535" s="235"/>
      <c r="W2535" s="235"/>
      <c r="X2535" s="235"/>
      <c r="Y2535" s="235"/>
      <c r="Z2535" s="235"/>
    </row>
    <row r="2536" spans="1:26" ht="18" customHeight="1" x14ac:dyDescent="0.2">
      <c r="A2536" s="279">
        <f t="shared" ref="A2536:A2596" si="2591">A2535+1</f>
        <v>45387</v>
      </c>
      <c r="B2536" s="278" t="s">
        <v>189</v>
      </c>
      <c r="C2536" s="197"/>
      <c r="D2536" s="197"/>
      <c r="E2536" s="197"/>
      <c r="F2536" s="197"/>
      <c r="G2536" s="198"/>
      <c r="H2536" s="199"/>
      <c r="I2536" s="199"/>
      <c r="J2536" s="200"/>
      <c r="K2536" s="201"/>
      <c r="L2536" s="276"/>
      <c r="M2536" s="276"/>
      <c r="N2536" s="235"/>
      <c r="O2536" s="235"/>
      <c r="P2536" s="235"/>
      <c r="Q2536" s="235"/>
      <c r="R2536" s="235"/>
      <c r="S2536" s="236"/>
      <c r="T2536" s="236"/>
      <c r="U2536" s="236"/>
      <c r="V2536" s="235"/>
      <c r="W2536" s="235"/>
      <c r="X2536" s="235"/>
      <c r="Y2536" s="235"/>
      <c r="Z2536" s="235"/>
    </row>
    <row r="2537" spans="1:26" ht="18" customHeight="1" x14ac:dyDescent="0.2">
      <c r="A2537" s="279">
        <f t="shared" si="2591"/>
        <v>45388</v>
      </c>
      <c r="B2537" s="279" t="s">
        <v>195</v>
      </c>
      <c r="C2537" s="197"/>
      <c r="D2537" s="197"/>
      <c r="E2537" s="197"/>
      <c r="F2537" s="197"/>
      <c r="G2537" s="198"/>
      <c r="H2537" s="199"/>
      <c r="I2537" s="199"/>
      <c r="J2537" s="200"/>
      <c r="K2537" s="201"/>
      <c r="L2537" s="276"/>
      <c r="M2537" s="276"/>
      <c r="N2537" s="235"/>
      <c r="O2537" s="235"/>
      <c r="P2537" s="235"/>
      <c r="Q2537" s="235"/>
      <c r="R2537" s="235"/>
      <c r="S2537" s="236"/>
      <c r="T2537" s="236"/>
      <c r="U2537" s="236"/>
      <c r="V2537" s="235"/>
      <c r="W2537" s="235"/>
      <c r="X2537" s="235"/>
      <c r="Y2537" s="235"/>
      <c r="Z2537" s="235"/>
    </row>
    <row r="2538" spans="1:26" ht="18" customHeight="1" x14ac:dyDescent="0.2">
      <c r="A2538" s="279">
        <f t="shared" si="2591"/>
        <v>45389</v>
      </c>
      <c r="B2538" s="278" t="s">
        <v>190</v>
      </c>
      <c r="C2538" s="197"/>
      <c r="D2538" s="197"/>
      <c r="E2538" s="197"/>
      <c r="F2538" s="197"/>
      <c r="G2538" s="198"/>
      <c r="H2538" s="199"/>
      <c r="I2538" s="199"/>
      <c r="J2538" s="200"/>
      <c r="K2538" s="201"/>
      <c r="L2538" s="276"/>
      <c r="M2538" s="276"/>
      <c r="N2538" s="235"/>
      <c r="O2538" s="235"/>
      <c r="P2538" s="235"/>
      <c r="Q2538" s="235"/>
      <c r="R2538" s="235"/>
      <c r="S2538" s="236"/>
      <c r="T2538" s="236"/>
      <c r="U2538" s="236"/>
      <c r="V2538" s="235"/>
      <c r="W2538" s="235"/>
      <c r="X2538" s="235"/>
      <c r="Y2538" s="235"/>
      <c r="Z2538" s="235"/>
    </row>
    <row r="2539" spans="1:26" ht="18" customHeight="1" x14ac:dyDescent="0.2">
      <c r="A2539" s="279">
        <f t="shared" si="2591"/>
        <v>45390</v>
      </c>
      <c r="B2539" s="280" t="s">
        <v>191</v>
      </c>
      <c r="C2539" s="197"/>
      <c r="D2539" s="197"/>
      <c r="E2539" s="197"/>
      <c r="F2539" s="197"/>
      <c r="G2539" s="198"/>
      <c r="H2539" s="199"/>
      <c r="I2539" s="199"/>
      <c r="J2539" s="200"/>
      <c r="K2539" s="201"/>
      <c r="L2539" s="276"/>
      <c r="M2539" s="276"/>
      <c r="N2539" s="235"/>
      <c r="O2539" s="235"/>
      <c r="P2539" s="235"/>
      <c r="Q2539" s="235"/>
      <c r="R2539" s="235"/>
      <c r="S2539" s="236"/>
      <c r="T2539" s="236"/>
      <c r="U2539" s="236"/>
      <c r="V2539" s="235"/>
      <c r="W2539" s="235"/>
      <c r="X2539" s="235"/>
      <c r="Y2539" s="235"/>
      <c r="Z2539" s="235"/>
    </row>
    <row r="2540" spans="1:26" ht="18" customHeight="1" x14ac:dyDescent="0.2">
      <c r="A2540" s="279">
        <f t="shared" si="2591"/>
        <v>45391</v>
      </c>
      <c r="B2540" s="280" t="s">
        <v>192</v>
      </c>
      <c r="C2540" s="197"/>
      <c r="D2540" s="197"/>
      <c r="E2540" s="197"/>
      <c r="F2540" s="197"/>
      <c r="G2540" s="198"/>
      <c r="H2540" s="199"/>
      <c r="I2540" s="199"/>
      <c r="J2540" s="200"/>
      <c r="K2540" s="201"/>
      <c r="L2540" s="276"/>
      <c r="M2540" s="276"/>
      <c r="N2540" s="235"/>
      <c r="O2540" s="235"/>
      <c r="P2540" s="235"/>
      <c r="Q2540" s="235"/>
      <c r="R2540" s="235"/>
      <c r="S2540" s="236"/>
      <c r="T2540" s="236"/>
      <c r="U2540" s="236"/>
      <c r="V2540" s="235"/>
      <c r="W2540" s="235"/>
      <c r="X2540" s="235"/>
      <c r="Y2540" s="235"/>
      <c r="Z2540" s="235"/>
    </row>
    <row r="2541" spans="1:26" ht="18" customHeight="1" x14ac:dyDescent="0.2">
      <c r="A2541" s="279">
        <f t="shared" si="2591"/>
        <v>45392</v>
      </c>
      <c r="B2541" s="280" t="s">
        <v>193</v>
      </c>
      <c r="C2541" s="197"/>
      <c r="D2541" s="197"/>
      <c r="E2541" s="197"/>
      <c r="F2541" s="197"/>
      <c r="G2541" s="198"/>
      <c r="H2541" s="199"/>
      <c r="I2541" s="199"/>
      <c r="J2541" s="200"/>
      <c r="K2541" s="201"/>
      <c r="L2541" s="276"/>
      <c r="M2541" s="276"/>
      <c r="N2541" s="235"/>
      <c r="O2541" s="235"/>
      <c r="P2541" s="235"/>
      <c r="Q2541" s="235"/>
      <c r="R2541" s="235"/>
      <c r="S2541" s="236"/>
      <c r="T2541" s="236"/>
      <c r="U2541" s="236"/>
      <c r="V2541" s="235"/>
      <c r="W2541" s="235"/>
      <c r="X2541" s="235"/>
      <c r="Y2541" s="235"/>
      <c r="Z2541" s="235"/>
    </row>
    <row r="2542" spans="1:26" ht="18" customHeight="1" x14ac:dyDescent="0.2">
      <c r="A2542" s="279">
        <f t="shared" si="2591"/>
        <v>45393</v>
      </c>
      <c r="B2542" s="280" t="s">
        <v>194</v>
      </c>
      <c r="C2542" s="197"/>
      <c r="D2542" s="197"/>
      <c r="E2542" s="197"/>
      <c r="F2542" s="197"/>
      <c r="G2542" s="198"/>
      <c r="H2542" s="199"/>
      <c r="I2542" s="199"/>
      <c r="J2542" s="200"/>
      <c r="K2542" s="201"/>
      <c r="L2542" s="276"/>
      <c r="M2542" s="276"/>
      <c r="N2542" s="235"/>
      <c r="O2542" s="235"/>
      <c r="P2542" s="235"/>
      <c r="Q2542" s="235"/>
      <c r="R2542" s="235"/>
      <c r="S2542" s="236"/>
      <c r="T2542" s="236"/>
      <c r="U2542" s="236"/>
      <c r="V2542" s="235"/>
      <c r="W2542" s="235"/>
      <c r="X2542" s="235"/>
      <c r="Y2542" s="235"/>
      <c r="Z2542" s="235"/>
    </row>
    <row r="2543" spans="1:26" ht="18" customHeight="1" x14ac:dyDescent="0.2">
      <c r="A2543" s="279">
        <f t="shared" si="2591"/>
        <v>45394</v>
      </c>
      <c r="B2543" s="278" t="s">
        <v>189</v>
      </c>
      <c r="C2543" s="197"/>
      <c r="D2543" s="197"/>
      <c r="E2543" s="197"/>
      <c r="F2543" s="197"/>
      <c r="G2543" s="198"/>
      <c r="H2543" s="199"/>
      <c r="I2543" s="199"/>
      <c r="J2543" s="200"/>
      <c r="K2543" s="201"/>
      <c r="L2543" s="276"/>
      <c r="M2543" s="276"/>
      <c r="N2543" s="235"/>
      <c r="O2543" s="235"/>
      <c r="P2543" s="235"/>
      <c r="Q2543" s="235"/>
      <c r="R2543" s="235"/>
      <c r="S2543" s="236"/>
      <c r="T2543" s="236"/>
      <c r="U2543" s="236"/>
      <c r="V2543" s="235"/>
      <c r="W2543" s="235"/>
      <c r="X2543" s="235"/>
      <c r="Y2543" s="235"/>
      <c r="Z2543" s="235"/>
    </row>
    <row r="2544" spans="1:26" ht="18" customHeight="1" x14ac:dyDescent="0.2">
      <c r="A2544" s="279">
        <f t="shared" si="2591"/>
        <v>45395</v>
      </c>
      <c r="B2544" s="279" t="s">
        <v>195</v>
      </c>
      <c r="C2544" s="197"/>
      <c r="D2544" s="197"/>
      <c r="E2544" s="197"/>
      <c r="F2544" s="197"/>
      <c r="G2544" s="198"/>
      <c r="H2544" s="199"/>
      <c r="I2544" s="199"/>
      <c r="J2544" s="200"/>
      <c r="K2544" s="201"/>
      <c r="L2544" s="276"/>
      <c r="M2544" s="276"/>
      <c r="N2544" s="235"/>
      <c r="O2544" s="235"/>
      <c r="P2544" s="235"/>
      <c r="Q2544" s="235"/>
      <c r="R2544" s="235"/>
      <c r="S2544" s="236"/>
      <c r="T2544" s="236"/>
      <c r="U2544" s="236"/>
      <c r="V2544" s="235"/>
      <c r="W2544" s="235"/>
      <c r="X2544" s="235"/>
      <c r="Y2544" s="235"/>
      <c r="Z2544" s="235"/>
    </row>
    <row r="2545" spans="1:26" ht="18" customHeight="1" x14ac:dyDescent="0.2">
      <c r="A2545" s="279">
        <f t="shared" si="2591"/>
        <v>45396</v>
      </c>
      <c r="B2545" s="278" t="s">
        <v>190</v>
      </c>
      <c r="C2545" s="197"/>
      <c r="D2545" s="197"/>
      <c r="E2545" s="197"/>
      <c r="F2545" s="197"/>
      <c r="G2545" s="198"/>
      <c r="H2545" s="199"/>
      <c r="I2545" s="199"/>
      <c r="J2545" s="200"/>
      <c r="K2545" s="201"/>
      <c r="L2545" s="276"/>
      <c r="M2545" s="276"/>
      <c r="N2545" s="235"/>
      <c r="O2545" s="235"/>
      <c r="P2545" s="235"/>
      <c r="Q2545" s="235"/>
      <c r="R2545" s="235"/>
      <c r="S2545" s="236"/>
      <c r="T2545" s="236"/>
      <c r="U2545" s="236"/>
      <c r="V2545" s="235"/>
      <c r="W2545" s="235"/>
      <c r="X2545" s="235"/>
      <c r="Y2545" s="235"/>
      <c r="Z2545" s="235"/>
    </row>
    <row r="2546" spans="1:26" ht="18" customHeight="1" x14ac:dyDescent="0.2">
      <c r="A2546" s="279">
        <f t="shared" si="2591"/>
        <v>45397</v>
      </c>
      <c r="B2546" s="280" t="s">
        <v>191</v>
      </c>
      <c r="C2546" s="197"/>
      <c r="D2546" s="197"/>
      <c r="E2546" s="197"/>
      <c r="F2546" s="197"/>
      <c r="G2546" s="198"/>
      <c r="H2546" s="199"/>
      <c r="I2546" s="199"/>
      <c r="J2546" s="200"/>
      <c r="K2546" s="201"/>
      <c r="L2546" s="276"/>
      <c r="M2546" s="276"/>
      <c r="N2546" s="235"/>
      <c r="O2546" s="235"/>
      <c r="P2546" s="235"/>
      <c r="Q2546" s="235"/>
      <c r="R2546" s="235"/>
      <c r="S2546" s="236"/>
      <c r="T2546" s="236"/>
      <c r="U2546" s="236"/>
      <c r="V2546" s="235"/>
      <c r="W2546" s="235"/>
      <c r="X2546" s="235"/>
      <c r="Y2546" s="235"/>
      <c r="Z2546" s="235"/>
    </row>
    <row r="2547" spans="1:26" ht="18" customHeight="1" x14ac:dyDescent="0.2">
      <c r="A2547" s="279">
        <f t="shared" si="2591"/>
        <v>45398</v>
      </c>
      <c r="B2547" s="280" t="s">
        <v>192</v>
      </c>
      <c r="C2547" s="197"/>
      <c r="D2547" s="197"/>
      <c r="E2547" s="197"/>
      <c r="F2547" s="197"/>
      <c r="G2547" s="198"/>
      <c r="H2547" s="199"/>
      <c r="I2547" s="199"/>
      <c r="J2547" s="200"/>
      <c r="K2547" s="201"/>
      <c r="L2547" s="276"/>
      <c r="M2547" s="276"/>
      <c r="N2547" s="235"/>
      <c r="O2547" s="235"/>
      <c r="P2547" s="235"/>
      <c r="Q2547" s="235"/>
      <c r="R2547" s="235"/>
      <c r="S2547" s="236"/>
      <c r="T2547" s="236"/>
      <c r="U2547" s="236"/>
      <c r="V2547" s="235"/>
      <c r="W2547" s="235"/>
      <c r="X2547" s="235"/>
      <c r="Y2547" s="235"/>
      <c r="Z2547" s="235"/>
    </row>
    <row r="2548" spans="1:26" ht="18" customHeight="1" x14ac:dyDescent="0.2">
      <c r="A2548" s="279">
        <f t="shared" si="2591"/>
        <v>45399</v>
      </c>
      <c r="B2548" s="280" t="s">
        <v>193</v>
      </c>
      <c r="C2548" s="197"/>
      <c r="D2548" s="197"/>
      <c r="E2548" s="197"/>
      <c r="F2548" s="197"/>
      <c r="G2548" s="198"/>
      <c r="H2548" s="199"/>
      <c r="I2548" s="199"/>
      <c r="J2548" s="200"/>
      <c r="K2548" s="201"/>
      <c r="L2548" s="276"/>
      <c r="M2548" s="276"/>
      <c r="N2548" s="235"/>
      <c r="O2548" s="235"/>
      <c r="P2548" s="235"/>
      <c r="Q2548" s="235"/>
      <c r="R2548" s="235"/>
      <c r="S2548" s="236"/>
      <c r="T2548" s="236"/>
      <c r="U2548" s="236"/>
      <c r="V2548" s="235"/>
      <c r="W2548" s="235"/>
      <c r="X2548" s="235"/>
      <c r="Y2548" s="235"/>
      <c r="Z2548" s="235"/>
    </row>
    <row r="2549" spans="1:26" ht="18" customHeight="1" x14ac:dyDescent="0.2">
      <c r="A2549" s="279">
        <f t="shared" si="2591"/>
        <v>45400</v>
      </c>
      <c r="B2549" s="280" t="s">
        <v>194</v>
      </c>
      <c r="C2549" s="197"/>
      <c r="D2549" s="197"/>
      <c r="E2549" s="197"/>
      <c r="F2549" s="197"/>
      <c r="G2549" s="198"/>
      <c r="H2549" s="199"/>
      <c r="I2549" s="199"/>
      <c r="J2549" s="200"/>
      <c r="K2549" s="201"/>
      <c r="L2549" s="276"/>
      <c r="M2549" s="276"/>
      <c r="N2549" s="235"/>
      <c r="O2549" s="235"/>
      <c r="P2549" s="235"/>
      <c r="Q2549" s="235"/>
      <c r="R2549" s="235"/>
      <c r="S2549" s="236"/>
      <c r="T2549" s="236"/>
      <c r="U2549" s="236"/>
      <c r="V2549" s="235"/>
      <c r="W2549" s="235"/>
      <c r="X2549" s="235"/>
      <c r="Y2549" s="235"/>
      <c r="Z2549" s="235"/>
    </row>
    <row r="2550" spans="1:26" ht="18" customHeight="1" x14ac:dyDescent="0.2">
      <c r="A2550" s="279">
        <f t="shared" si="2591"/>
        <v>45401</v>
      </c>
      <c r="B2550" s="278" t="s">
        <v>189</v>
      </c>
      <c r="C2550" s="197"/>
      <c r="D2550" s="197"/>
      <c r="E2550" s="197"/>
      <c r="F2550" s="197"/>
      <c r="G2550" s="198"/>
      <c r="H2550" s="199"/>
      <c r="I2550" s="199"/>
      <c r="J2550" s="200"/>
      <c r="K2550" s="201"/>
      <c r="L2550" s="276"/>
      <c r="M2550" s="276"/>
      <c r="N2550" s="235"/>
      <c r="O2550" s="235"/>
      <c r="P2550" s="235"/>
      <c r="Q2550" s="235"/>
      <c r="R2550" s="235"/>
      <c r="S2550" s="236"/>
      <c r="T2550" s="236"/>
      <c r="U2550" s="236"/>
      <c r="V2550" s="235"/>
      <c r="W2550" s="235"/>
      <c r="X2550" s="235"/>
      <c r="Y2550" s="235"/>
      <c r="Z2550" s="235"/>
    </row>
    <row r="2551" spans="1:26" ht="18" customHeight="1" x14ac:dyDescent="0.2">
      <c r="A2551" s="279">
        <f t="shared" si="2591"/>
        <v>45402</v>
      </c>
      <c r="B2551" s="279" t="s">
        <v>195</v>
      </c>
      <c r="C2551" s="197"/>
      <c r="D2551" s="197"/>
      <c r="E2551" s="197"/>
      <c r="F2551" s="197"/>
      <c r="G2551" s="198"/>
      <c r="H2551" s="199"/>
      <c r="I2551" s="199"/>
      <c r="J2551" s="200"/>
      <c r="K2551" s="201"/>
      <c r="L2551" s="276"/>
      <c r="M2551" s="276"/>
      <c r="N2551" s="235"/>
      <c r="O2551" s="235"/>
      <c r="P2551" s="235"/>
      <c r="Q2551" s="235"/>
      <c r="R2551" s="235"/>
      <c r="S2551" s="236"/>
      <c r="T2551" s="236"/>
      <c r="U2551" s="236"/>
      <c r="V2551" s="235"/>
      <c r="W2551" s="235"/>
      <c r="X2551" s="235"/>
      <c r="Y2551" s="235"/>
      <c r="Z2551" s="235"/>
    </row>
    <row r="2552" spans="1:26" ht="18" customHeight="1" x14ac:dyDescent="0.2">
      <c r="A2552" s="279">
        <f t="shared" si="2591"/>
        <v>45403</v>
      </c>
      <c r="B2552" s="278" t="s">
        <v>190</v>
      </c>
      <c r="C2552" s="197"/>
      <c r="D2552" s="197"/>
      <c r="E2552" s="197"/>
      <c r="F2552" s="197"/>
      <c r="G2552" s="198"/>
      <c r="H2552" s="199"/>
      <c r="I2552" s="199"/>
      <c r="J2552" s="200"/>
      <c r="K2552" s="201"/>
      <c r="L2552" s="276"/>
      <c r="M2552" s="276"/>
      <c r="N2552" s="235"/>
      <c r="O2552" s="235"/>
      <c r="P2552" s="235"/>
      <c r="Q2552" s="235"/>
      <c r="R2552" s="235"/>
      <c r="S2552" s="236"/>
      <c r="T2552" s="236"/>
      <c r="U2552" s="236"/>
      <c r="V2552" s="235"/>
      <c r="W2552" s="235"/>
      <c r="X2552" s="235"/>
      <c r="Y2552" s="235"/>
      <c r="Z2552" s="235"/>
    </row>
    <row r="2553" spans="1:26" ht="18" customHeight="1" x14ac:dyDescent="0.2">
      <c r="A2553" s="279">
        <f t="shared" si="2591"/>
        <v>45404</v>
      </c>
      <c r="B2553" s="280" t="s">
        <v>191</v>
      </c>
      <c r="C2553" s="197"/>
      <c r="D2553" s="197"/>
      <c r="E2553" s="197"/>
      <c r="F2553" s="197"/>
      <c r="G2553" s="198"/>
      <c r="H2553" s="199"/>
      <c r="I2553" s="199"/>
      <c r="J2553" s="200"/>
      <c r="K2553" s="201"/>
      <c r="L2553" s="276"/>
      <c r="M2553" s="276"/>
      <c r="N2553" s="235"/>
      <c r="O2553" s="235"/>
      <c r="P2553" s="235"/>
      <c r="Q2553" s="235"/>
      <c r="R2553" s="235"/>
      <c r="S2553" s="236"/>
      <c r="T2553" s="236"/>
      <c r="U2553" s="236"/>
      <c r="V2553" s="235"/>
      <c r="W2553" s="235"/>
      <c r="X2553" s="235"/>
      <c r="Y2553" s="235"/>
      <c r="Z2553" s="235"/>
    </row>
    <row r="2554" spans="1:26" ht="18" customHeight="1" x14ac:dyDescent="0.2">
      <c r="A2554" s="279">
        <f t="shared" si="2591"/>
        <v>45405</v>
      </c>
      <c r="B2554" s="280" t="s">
        <v>192</v>
      </c>
      <c r="C2554" s="197"/>
      <c r="D2554" s="197"/>
      <c r="E2554" s="197"/>
      <c r="F2554" s="197"/>
      <c r="G2554" s="198"/>
      <c r="H2554" s="199"/>
      <c r="I2554" s="199"/>
      <c r="J2554" s="200"/>
      <c r="K2554" s="201"/>
      <c r="L2554" s="276"/>
      <c r="M2554" s="276"/>
      <c r="N2554" s="235"/>
      <c r="O2554" s="235"/>
      <c r="P2554" s="235"/>
      <c r="Q2554" s="235"/>
      <c r="R2554" s="235"/>
      <c r="S2554" s="236"/>
      <c r="T2554" s="236"/>
      <c r="U2554" s="236"/>
      <c r="V2554" s="235"/>
      <c r="W2554" s="235"/>
      <c r="X2554" s="235"/>
      <c r="Y2554" s="235"/>
      <c r="Z2554" s="235"/>
    </row>
    <row r="2555" spans="1:26" ht="18" customHeight="1" x14ac:dyDescent="0.2">
      <c r="A2555" s="279">
        <f t="shared" si="2591"/>
        <v>45406</v>
      </c>
      <c r="B2555" s="280" t="s">
        <v>193</v>
      </c>
      <c r="C2555" s="197"/>
      <c r="D2555" s="197"/>
      <c r="E2555" s="197"/>
      <c r="F2555" s="197"/>
      <c r="G2555" s="198"/>
      <c r="H2555" s="199"/>
      <c r="I2555" s="199"/>
      <c r="J2555" s="200"/>
      <c r="K2555" s="201"/>
      <c r="L2555" s="276"/>
      <c r="M2555" s="276"/>
      <c r="N2555" s="235"/>
      <c r="O2555" s="235"/>
      <c r="P2555" s="235"/>
      <c r="Q2555" s="235"/>
      <c r="R2555" s="235"/>
      <c r="S2555" s="236"/>
      <c r="T2555" s="236"/>
      <c r="U2555" s="236"/>
      <c r="V2555" s="235"/>
      <c r="W2555" s="235"/>
      <c r="X2555" s="235"/>
      <c r="Y2555" s="235"/>
      <c r="Z2555" s="235"/>
    </row>
    <row r="2556" spans="1:26" ht="18" customHeight="1" x14ac:dyDescent="0.2">
      <c r="A2556" s="279">
        <f t="shared" si="2591"/>
        <v>45407</v>
      </c>
      <c r="B2556" s="280" t="s">
        <v>194</v>
      </c>
      <c r="C2556" s="197"/>
      <c r="D2556" s="197"/>
      <c r="E2556" s="197"/>
      <c r="F2556" s="197"/>
      <c r="G2556" s="198"/>
      <c r="H2556" s="199"/>
      <c r="I2556" s="199"/>
      <c r="J2556" s="200"/>
      <c r="K2556" s="201"/>
      <c r="L2556" s="276"/>
      <c r="M2556" s="276"/>
      <c r="N2556" s="235"/>
      <c r="O2556" s="235"/>
      <c r="P2556" s="235"/>
      <c r="Q2556" s="235"/>
      <c r="R2556" s="235"/>
      <c r="S2556" s="236"/>
      <c r="T2556" s="236"/>
      <c r="U2556" s="236"/>
      <c r="V2556" s="235"/>
      <c r="W2556" s="235"/>
      <c r="X2556" s="235"/>
      <c r="Y2556" s="235"/>
      <c r="Z2556" s="235"/>
    </row>
    <row r="2557" spans="1:26" ht="18" customHeight="1" x14ac:dyDescent="0.2">
      <c r="A2557" s="279">
        <f t="shared" si="2591"/>
        <v>45408</v>
      </c>
      <c r="B2557" s="278" t="s">
        <v>189</v>
      </c>
      <c r="C2557" s="197"/>
      <c r="D2557" s="197"/>
      <c r="E2557" s="197"/>
      <c r="F2557" s="197"/>
      <c r="G2557" s="198"/>
      <c r="H2557" s="199"/>
      <c r="I2557" s="199"/>
      <c r="J2557" s="200"/>
      <c r="K2557" s="201"/>
      <c r="L2557" s="276"/>
      <c r="M2557" s="276"/>
      <c r="N2557" s="235"/>
      <c r="O2557" s="235"/>
      <c r="P2557" s="235"/>
      <c r="Q2557" s="235"/>
      <c r="R2557" s="235"/>
      <c r="S2557" s="236"/>
      <c r="T2557" s="236"/>
      <c r="U2557" s="236"/>
      <c r="V2557" s="235"/>
      <c r="W2557" s="235"/>
      <c r="X2557" s="235"/>
      <c r="Y2557" s="235"/>
      <c r="Z2557" s="235"/>
    </row>
    <row r="2558" spans="1:26" ht="18" customHeight="1" x14ac:dyDescent="0.2">
      <c r="A2558" s="279">
        <f t="shared" si="2591"/>
        <v>45409</v>
      </c>
      <c r="B2558" s="279" t="s">
        <v>195</v>
      </c>
      <c r="C2558" s="197"/>
      <c r="D2558" s="197"/>
      <c r="E2558" s="197"/>
      <c r="F2558" s="197"/>
      <c r="G2558" s="198"/>
      <c r="H2558" s="199"/>
      <c r="I2558" s="199"/>
      <c r="J2558" s="200"/>
      <c r="K2558" s="201"/>
      <c r="L2558" s="276"/>
      <c r="M2558" s="276"/>
      <c r="N2558" s="235"/>
      <c r="O2558" s="235"/>
      <c r="P2558" s="235"/>
      <c r="Q2558" s="235"/>
      <c r="R2558" s="235"/>
      <c r="S2558" s="236"/>
      <c r="T2558" s="236"/>
      <c r="U2558" s="236"/>
      <c r="V2558" s="235"/>
      <c r="W2558" s="235"/>
      <c r="X2558" s="235"/>
      <c r="Y2558" s="235"/>
      <c r="Z2558" s="235"/>
    </row>
    <row r="2559" spans="1:26" ht="18" customHeight="1" x14ac:dyDescent="0.2">
      <c r="A2559" s="279">
        <f t="shared" si="2591"/>
        <v>45410</v>
      </c>
      <c r="B2559" s="278" t="s">
        <v>190</v>
      </c>
      <c r="C2559" s="197"/>
      <c r="D2559" s="197"/>
      <c r="E2559" s="197"/>
      <c r="F2559" s="197"/>
      <c r="G2559" s="198"/>
      <c r="H2559" s="199"/>
      <c r="I2559" s="199"/>
      <c r="J2559" s="200"/>
      <c r="K2559" s="201"/>
      <c r="L2559" s="276"/>
      <c r="M2559" s="276"/>
      <c r="N2559" s="235"/>
      <c r="O2559" s="235"/>
      <c r="P2559" s="235"/>
      <c r="Q2559" s="235"/>
      <c r="R2559" s="235"/>
      <c r="S2559" s="236"/>
      <c r="T2559" s="236"/>
      <c r="U2559" s="236"/>
      <c r="V2559" s="235"/>
      <c r="W2559" s="235"/>
      <c r="X2559" s="235"/>
      <c r="Y2559" s="235"/>
      <c r="Z2559" s="235"/>
    </row>
    <row r="2560" spans="1:26" ht="18" customHeight="1" x14ac:dyDescent="0.2">
      <c r="A2560" s="279">
        <f t="shared" si="2591"/>
        <v>45411</v>
      </c>
      <c r="B2560" s="280" t="s">
        <v>191</v>
      </c>
      <c r="C2560" s="197"/>
      <c r="D2560" s="197"/>
      <c r="E2560" s="197"/>
      <c r="F2560" s="197"/>
      <c r="G2560" s="198"/>
      <c r="H2560" s="199"/>
      <c r="I2560" s="199"/>
      <c r="J2560" s="200"/>
      <c r="K2560" s="201"/>
      <c r="L2560" s="276"/>
      <c r="M2560" s="276"/>
      <c r="N2560" s="235"/>
      <c r="O2560" s="235"/>
      <c r="P2560" s="235"/>
      <c r="Q2560" s="235"/>
      <c r="R2560" s="235"/>
      <c r="S2560" s="236"/>
      <c r="T2560" s="236"/>
      <c r="U2560" s="236"/>
      <c r="V2560" s="235"/>
      <c r="W2560" s="235"/>
      <c r="X2560" s="235"/>
      <c r="Y2560" s="235"/>
      <c r="Z2560" s="235"/>
    </row>
    <row r="2561" spans="1:26" ht="18" customHeight="1" x14ac:dyDescent="0.2">
      <c r="A2561" s="279">
        <f t="shared" si="2591"/>
        <v>45412</v>
      </c>
      <c r="B2561" s="280" t="s">
        <v>192</v>
      </c>
      <c r="C2561" s="197"/>
      <c r="D2561" s="197"/>
      <c r="E2561" s="197"/>
      <c r="F2561" s="197"/>
      <c r="G2561" s="198"/>
      <c r="H2561" s="199"/>
      <c r="I2561" s="199"/>
      <c r="J2561" s="200"/>
      <c r="K2561" s="201"/>
      <c r="L2561" s="276"/>
      <c r="M2561" s="276"/>
      <c r="N2561" s="235"/>
      <c r="O2561" s="235"/>
      <c r="P2561" s="235"/>
      <c r="Q2561" s="235"/>
      <c r="R2561" s="235"/>
      <c r="S2561" s="236"/>
      <c r="T2561" s="236"/>
      <c r="U2561" s="236"/>
      <c r="V2561" s="235"/>
      <c r="W2561" s="235"/>
      <c r="X2561" s="235"/>
      <c r="Y2561" s="235"/>
      <c r="Z2561" s="235"/>
    </row>
    <row r="2562" spans="1:26" ht="18" customHeight="1" x14ac:dyDescent="0.2">
      <c r="A2562" s="279">
        <f t="shared" si="2591"/>
        <v>45413</v>
      </c>
      <c r="B2562" s="280" t="s">
        <v>193</v>
      </c>
      <c r="C2562" s="197"/>
      <c r="D2562" s="197"/>
      <c r="E2562" s="197"/>
      <c r="F2562" s="197"/>
      <c r="G2562" s="198"/>
      <c r="H2562" s="199"/>
      <c r="I2562" s="199"/>
      <c r="J2562" s="200"/>
      <c r="K2562" s="201"/>
      <c r="L2562" s="276"/>
      <c r="M2562" s="276"/>
      <c r="N2562" s="235"/>
      <c r="O2562" s="235"/>
      <c r="P2562" s="235"/>
      <c r="Q2562" s="235"/>
      <c r="R2562" s="235"/>
      <c r="S2562" s="236"/>
      <c r="T2562" s="236"/>
      <c r="U2562" s="236"/>
      <c r="V2562" s="235"/>
      <c r="W2562" s="235"/>
      <c r="X2562" s="235"/>
      <c r="Y2562" s="235"/>
      <c r="Z2562" s="235"/>
    </row>
    <row r="2563" spans="1:26" ht="18" customHeight="1" x14ac:dyDescent="0.2">
      <c r="A2563" s="279">
        <f t="shared" si="2591"/>
        <v>45414</v>
      </c>
      <c r="B2563" s="280" t="s">
        <v>194</v>
      </c>
      <c r="C2563" s="197"/>
      <c r="D2563" s="197"/>
      <c r="E2563" s="197"/>
      <c r="F2563" s="197"/>
      <c r="G2563" s="198"/>
      <c r="H2563" s="199"/>
      <c r="I2563" s="199"/>
      <c r="J2563" s="200"/>
      <c r="K2563" s="201"/>
      <c r="L2563" s="276"/>
      <c r="M2563" s="276"/>
      <c r="N2563" s="235"/>
      <c r="O2563" s="235"/>
      <c r="P2563" s="235"/>
      <c r="Q2563" s="235"/>
      <c r="R2563" s="235"/>
      <c r="S2563" s="236"/>
      <c r="T2563" s="236"/>
      <c r="U2563" s="236"/>
      <c r="V2563" s="235"/>
      <c r="W2563" s="235"/>
      <c r="X2563" s="235"/>
      <c r="Y2563" s="235"/>
      <c r="Z2563" s="235"/>
    </row>
    <row r="2564" spans="1:26" ht="18" customHeight="1" x14ac:dyDescent="0.2">
      <c r="A2564" s="279">
        <f t="shared" si="2591"/>
        <v>45415</v>
      </c>
      <c r="B2564" s="278" t="s">
        <v>189</v>
      </c>
      <c r="C2564" s="197"/>
      <c r="D2564" s="197"/>
      <c r="E2564" s="197"/>
      <c r="F2564" s="197"/>
      <c r="G2564" s="198"/>
      <c r="H2564" s="199"/>
      <c r="I2564" s="199"/>
      <c r="J2564" s="200"/>
      <c r="K2564" s="201"/>
      <c r="L2564" s="276"/>
      <c r="M2564" s="276"/>
      <c r="N2564" s="235"/>
      <c r="O2564" s="235"/>
      <c r="P2564" s="235"/>
      <c r="Q2564" s="235"/>
      <c r="R2564" s="235"/>
      <c r="S2564" s="236"/>
      <c r="T2564" s="236"/>
      <c r="U2564" s="236"/>
      <c r="V2564" s="235"/>
      <c r="W2564" s="235"/>
      <c r="X2564" s="235"/>
      <c r="Y2564" s="235"/>
      <c r="Z2564" s="235"/>
    </row>
    <row r="2565" spans="1:26" ht="18" customHeight="1" x14ac:dyDescent="0.2">
      <c r="A2565" s="279">
        <f t="shared" si="2591"/>
        <v>45416</v>
      </c>
      <c r="B2565" s="279" t="s">
        <v>195</v>
      </c>
      <c r="C2565" s="197"/>
      <c r="D2565" s="197"/>
      <c r="E2565" s="197"/>
      <c r="F2565" s="197"/>
      <c r="G2565" s="198"/>
      <c r="H2565" s="199"/>
      <c r="I2565" s="199"/>
      <c r="J2565" s="200"/>
      <c r="K2565" s="201"/>
      <c r="L2565" s="276"/>
      <c r="M2565" s="276"/>
      <c r="N2565" s="235"/>
      <c r="O2565" s="235"/>
      <c r="P2565" s="235"/>
      <c r="Q2565" s="235"/>
      <c r="R2565" s="235"/>
      <c r="S2565" s="236"/>
      <c r="T2565" s="236"/>
      <c r="U2565" s="236"/>
      <c r="V2565" s="235"/>
      <c r="W2565" s="235"/>
      <c r="X2565" s="235"/>
      <c r="Y2565" s="235"/>
      <c r="Z2565" s="235"/>
    </row>
    <row r="2566" spans="1:26" ht="18" customHeight="1" x14ac:dyDescent="0.2">
      <c r="A2566" s="279">
        <f t="shared" si="2591"/>
        <v>45417</v>
      </c>
      <c r="B2566" s="278" t="s">
        <v>190</v>
      </c>
      <c r="C2566" s="197"/>
      <c r="D2566" s="197"/>
      <c r="E2566" s="197"/>
      <c r="F2566" s="197"/>
      <c r="G2566" s="198"/>
      <c r="H2566" s="199"/>
      <c r="I2566" s="199"/>
      <c r="J2566" s="200"/>
      <c r="K2566" s="201"/>
      <c r="L2566" s="276"/>
      <c r="M2566" s="276"/>
      <c r="N2566" s="235"/>
      <c r="O2566" s="235"/>
      <c r="P2566" s="235"/>
      <c r="Q2566" s="235"/>
      <c r="R2566" s="235"/>
      <c r="S2566" s="236"/>
      <c r="T2566" s="236"/>
      <c r="U2566" s="236"/>
      <c r="V2566" s="235"/>
      <c r="W2566" s="235"/>
      <c r="X2566" s="235"/>
      <c r="Y2566" s="235"/>
      <c r="Z2566" s="235"/>
    </row>
    <row r="2567" spans="1:26" ht="18" customHeight="1" x14ac:dyDescent="0.2">
      <c r="A2567" s="279">
        <f t="shared" si="2591"/>
        <v>45418</v>
      </c>
      <c r="B2567" s="280" t="s">
        <v>191</v>
      </c>
      <c r="C2567" s="197"/>
      <c r="D2567" s="197"/>
      <c r="E2567" s="197"/>
      <c r="F2567" s="197"/>
      <c r="G2567" s="198"/>
      <c r="H2567" s="199"/>
      <c r="I2567" s="199"/>
      <c r="J2567" s="200"/>
      <c r="K2567" s="201"/>
      <c r="L2567" s="276"/>
      <c r="M2567" s="276"/>
      <c r="N2567" s="235"/>
      <c r="O2567" s="235"/>
      <c r="P2567" s="235"/>
      <c r="Q2567" s="235"/>
      <c r="R2567" s="235"/>
      <c r="S2567" s="236"/>
      <c r="T2567" s="236"/>
      <c r="U2567" s="236"/>
      <c r="V2567" s="235"/>
      <c r="W2567" s="235"/>
      <c r="X2567" s="235"/>
      <c r="Y2567" s="235"/>
      <c r="Z2567" s="235"/>
    </row>
    <row r="2568" spans="1:26" ht="18" customHeight="1" x14ac:dyDescent="0.2">
      <c r="A2568" s="279">
        <f t="shared" si="2591"/>
        <v>45419</v>
      </c>
      <c r="B2568" s="280" t="s">
        <v>192</v>
      </c>
      <c r="C2568" s="197"/>
      <c r="D2568" s="197"/>
      <c r="E2568" s="197"/>
      <c r="F2568" s="197"/>
      <c r="G2568" s="198"/>
      <c r="H2568" s="199"/>
      <c r="I2568" s="199"/>
      <c r="J2568" s="200"/>
      <c r="K2568" s="201"/>
      <c r="L2568" s="276"/>
      <c r="M2568" s="276"/>
      <c r="N2568" s="235"/>
      <c r="O2568" s="235"/>
      <c r="P2568" s="235"/>
      <c r="Q2568" s="235"/>
      <c r="R2568" s="235"/>
      <c r="S2568" s="236"/>
      <c r="T2568" s="236"/>
      <c r="U2568" s="236"/>
      <c r="V2568" s="235"/>
      <c r="W2568" s="235"/>
      <c r="X2568" s="235"/>
      <c r="Y2568" s="235"/>
      <c r="Z2568" s="235"/>
    </row>
    <row r="2569" spans="1:26" ht="18" customHeight="1" x14ac:dyDescent="0.2">
      <c r="A2569" s="279">
        <f t="shared" si="2591"/>
        <v>45420</v>
      </c>
      <c r="B2569" s="280" t="s">
        <v>193</v>
      </c>
      <c r="C2569" s="197"/>
      <c r="D2569" s="197"/>
      <c r="E2569" s="197"/>
      <c r="F2569" s="197"/>
      <c r="G2569" s="198"/>
      <c r="H2569" s="199"/>
      <c r="I2569" s="199"/>
      <c r="J2569" s="200"/>
      <c r="K2569" s="201"/>
      <c r="L2569" s="276"/>
      <c r="M2569" s="276"/>
      <c r="N2569" s="235"/>
      <c r="O2569" s="235"/>
      <c r="P2569" s="235"/>
      <c r="Q2569" s="235"/>
      <c r="R2569" s="235"/>
      <c r="S2569" s="236"/>
      <c r="T2569" s="236"/>
      <c r="U2569" s="236"/>
      <c r="V2569" s="235"/>
      <c r="W2569" s="235"/>
      <c r="X2569" s="235"/>
      <c r="Y2569" s="235"/>
      <c r="Z2569" s="235"/>
    </row>
    <row r="2570" spans="1:26" ht="18" customHeight="1" x14ac:dyDescent="0.2">
      <c r="A2570" s="279">
        <f t="shared" si="2591"/>
        <v>45421</v>
      </c>
      <c r="B2570" s="280" t="s">
        <v>194</v>
      </c>
      <c r="C2570" s="197"/>
      <c r="D2570" s="197"/>
      <c r="E2570" s="197"/>
      <c r="F2570" s="197"/>
      <c r="G2570" s="198"/>
      <c r="H2570" s="199"/>
      <c r="I2570" s="199"/>
      <c r="J2570" s="200"/>
      <c r="K2570" s="201"/>
      <c r="L2570" s="276"/>
      <c r="M2570" s="276"/>
      <c r="N2570" s="235"/>
      <c r="O2570" s="235"/>
      <c r="P2570" s="235"/>
      <c r="Q2570" s="235"/>
      <c r="R2570" s="235"/>
      <c r="S2570" s="236"/>
      <c r="T2570" s="236"/>
      <c r="U2570" s="236"/>
      <c r="V2570" s="235"/>
      <c r="W2570" s="235"/>
      <c r="X2570" s="235"/>
      <c r="Y2570" s="235"/>
      <c r="Z2570" s="235"/>
    </row>
    <row r="2571" spans="1:26" ht="18" customHeight="1" x14ac:dyDescent="0.2">
      <c r="A2571" s="279">
        <f t="shared" si="2591"/>
        <v>45422</v>
      </c>
      <c r="B2571" s="278" t="s">
        <v>189</v>
      </c>
      <c r="C2571" s="197"/>
      <c r="D2571" s="197"/>
      <c r="E2571" s="197"/>
      <c r="F2571" s="197"/>
      <c r="G2571" s="198"/>
      <c r="H2571" s="199"/>
      <c r="I2571" s="199"/>
      <c r="J2571" s="200"/>
      <c r="K2571" s="201"/>
      <c r="L2571" s="276"/>
      <c r="M2571" s="276"/>
      <c r="N2571" s="235"/>
      <c r="O2571" s="235"/>
      <c r="P2571" s="235"/>
      <c r="Q2571" s="235"/>
      <c r="R2571" s="235"/>
      <c r="S2571" s="236"/>
      <c r="T2571" s="236"/>
      <c r="U2571" s="236"/>
      <c r="V2571" s="235"/>
      <c r="W2571" s="235"/>
      <c r="X2571" s="235"/>
      <c r="Y2571" s="235"/>
      <c r="Z2571" s="235"/>
    </row>
    <row r="2572" spans="1:26" ht="18" customHeight="1" x14ac:dyDescent="0.2">
      <c r="A2572" s="279">
        <f t="shared" si="2591"/>
        <v>45423</v>
      </c>
      <c r="B2572" s="279" t="s">
        <v>195</v>
      </c>
      <c r="C2572" s="197"/>
      <c r="D2572" s="197"/>
      <c r="E2572" s="197"/>
      <c r="F2572" s="197"/>
      <c r="G2572" s="198"/>
      <c r="H2572" s="199"/>
      <c r="I2572" s="199"/>
      <c r="J2572" s="200"/>
      <c r="K2572" s="201"/>
      <c r="L2572" s="276"/>
      <c r="M2572" s="276"/>
      <c r="N2572" s="235"/>
      <c r="O2572" s="235"/>
      <c r="P2572" s="235"/>
      <c r="Q2572" s="235"/>
      <c r="R2572" s="235"/>
      <c r="S2572" s="236"/>
      <c r="T2572" s="236"/>
      <c r="U2572" s="236"/>
      <c r="V2572" s="235"/>
      <c r="W2572" s="235"/>
      <c r="X2572" s="235"/>
      <c r="Y2572" s="235"/>
      <c r="Z2572" s="235"/>
    </row>
    <row r="2573" spans="1:26" ht="18" customHeight="1" x14ac:dyDescent="0.2">
      <c r="A2573" s="279">
        <f t="shared" si="2591"/>
        <v>45424</v>
      </c>
      <c r="B2573" s="278" t="s">
        <v>190</v>
      </c>
      <c r="C2573" s="197"/>
      <c r="D2573" s="197"/>
      <c r="E2573" s="197"/>
      <c r="F2573" s="197"/>
      <c r="G2573" s="198"/>
      <c r="H2573" s="199"/>
      <c r="I2573" s="199"/>
      <c r="J2573" s="200"/>
      <c r="K2573" s="201"/>
      <c r="L2573" s="276"/>
      <c r="M2573" s="276"/>
      <c r="N2573" s="235"/>
      <c r="O2573" s="235"/>
      <c r="P2573" s="235"/>
      <c r="Q2573" s="235"/>
      <c r="R2573" s="235"/>
      <c r="S2573" s="236"/>
      <c r="T2573" s="236"/>
      <c r="U2573" s="236"/>
      <c r="V2573" s="235"/>
      <c r="W2573" s="235"/>
      <c r="X2573" s="235"/>
      <c r="Y2573" s="235"/>
      <c r="Z2573" s="235"/>
    </row>
    <row r="2574" spans="1:26" ht="18" customHeight="1" x14ac:dyDescent="0.2">
      <c r="A2574" s="279">
        <f t="shared" si="2591"/>
        <v>45425</v>
      </c>
      <c r="B2574" s="280" t="s">
        <v>191</v>
      </c>
      <c r="C2574" s="197"/>
      <c r="D2574" s="197"/>
      <c r="E2574" s="197"/>
      <c r="F2574" s="197"/>
      <c r="G2574" s="198"/>
      <c r="H2574" s="199"/>
      <c r="I2574" s="199"/>
      <c r="J2574" s="200"/>
      <c r="K2574" s="201"/>
      <c r="L2574" s="276"/>
      <c r="M2574" s="276"/>
      <c r="N2574" s="235"/>
      <c r="O2574" s="235"/>
      <c r="P2574" s="235"/>
      <c r="Q2574" s="235"/>
      <c r="R2574" s="235"/>
      <c r="S2574" s="236"/>
      <c r="T2574" s="236"/>
      <c r="U2574" s="236"/>
      <c r="V2574" s="235"/>
      <c r="W2574" s="235"/>
      <c r="X2574" s="235"/>
      <c r="Y2574" s="235"/>
      <c r="Z2574" s="235"/>
    </row>
    <row r="2575" spans="1:26" ht="18" customHeight="1" x14ac:dyDescent="0.2">
      <c r="A2575" s="279">
        <f t="shared" si="2591"/>
        <v>45426</v>
      </c>
      <c r="B2575" s="280" t="s">
        <v>192</v>
      </c>
      <c r="C2575" s="197"/>
      <c r="D2575" s="197"/>
      <c r="E2575" s="197"/>
      <c r="F2575" s="197"/>
      <c r="G2575" s="198"/>
      <c r="H2575" s="199"/>
      <c r="I2575" s="199"/>
      <c r="J2575" s="200"/>
      <c r="K2575" s="201"/>
      <c r="L2575" s="276"/>
      <c r="M2575" s="276"/>
      <c r="N2575" s="235"/>
      <c r="O2575" s="235"/>
      <c r="P2575" s="235"/>
      <c r="Q2575" s="235"/>
      <c r="R2575" s="235"/>
      <c r="S2575" s="236"/>
      <c r="T2575" s="236"/>
      <c r="U2575" s="236"/>
      <c r="V2575" s="235"/>
      <c r="W2575" s="235"/>
      <c r="X2575" s="235"/>
      <c r="Y2575" s="235"/>
      <c r="Z2575" s="235"/>
    </row>
    <row r="2576" spans="1:26" ht="18" customHeight="1" x14ac:dyDescent="0.2">
      <c r="A2576" s="279">
        <f t="shared" si="2591"/>
        <v>45427</v>
      </c>
      <c r="B2576" s="280" t="s">
        <v>193</v>
      </c>
      <c r="C2576" s="197"/>
      <c r="D2576" s="197"/>
      <c r="E2576" s="197"/>
      <c r="F2576" s="197"/>
      <c r="G2576" s="198"/>
      <c r="H2576" s="199"/>
      <c r="I2576" s="199"/>
      <c r="J2576" s="200"/>
      <c r="K2576" s="201"/>
      <c r="L2576" s="276"/>
      <c r="M2576" s="276"/>
      <c r="N2576" s="235"/>
      <c r="O2576" s="235"/>
      <c r="P2576" s="235"/>
      <c r="Q2576" s="235"/>
      <c r="R2576" s="235"/>
      <c r="S2576" s="236"/>
      <c r="T2576" s="236"/>
      <c r="U2576" s="236"/>
      <c r="V2576" s="235"/>
      <c r="W2576" s="235"/>
      <c r="X2576" s="235"/>
      <c r="Y2576" s="235"/>
      <c r="Z2576" s="235"/>
    </row>
    <row r="2577" spans="1:26" ht="18" customHeight="1" x14ac:dyDescent="0.2">
      <c r="A2577" s="279">
        <f t="shared" si="2591"/>
        <v>45428</v>
      </c>
      <c r="B2577" s="280" t="s">
        <v>194</v>
      </c>
      <c r="C2577" s="197"/>
      <c r="D2577" s="197"/>
      <c r="E2577" s="197"/>
      <c r="F2577" s="197"/>
      <c r="G2577" s="198"/>
      <c r="H2577" s="199"/>
      <c r="I2577" s="199"/>
      <c r="J2577" s="200"/>
      <c r="K2577" s="201"/>
      <c r="L2577" s="276"/>
      <c r="M2577" s="276"/>
      <c r="N2577" s="235"/>
      <c r="O2577" s="235"/>
      <c r="P2577" s="235"/>
      <c r="Q2577" s="235"/>
      <c r="R2577" s="235"/>
      <c r="S2577" s="236"/>
      <c r="T2577" s="236"/>
      <c r="U2577" s="236"/>
      <c r="V2577" s="235"/>
      <c r="W2577" s="235"/>
      <c r="X2577" s="235"/>
      <c r="Y2577" s="235"/>
      <c r="Z2577" s="235"/>
    </row>
    <row r="2578" spans="1:26" ht="18" customHeight="1" x14ac:dyDescent="0.2">
      <c r="A2578" s="279">
        <f t="shared" si="2591"/>
        <v>45429</v>
      </c>
      <c r="B2578" s="278" t="s">
        <v>189</v>
      </c>
      <c r="C2578" s="197"/>
      <c r="D2578" s="197"/>
      <c r="E2578" s="197"/>
      <c r="F2578" s="197"/>
      <c r="G2578" s="198"/>
      <c r="H2578" s="199"/>
      <c r="I2578" s="199"/>
      <c r="J2578" s="200"/>
      <c r="K2578" s="201"/>
      <c r="L2578" s="276"/>
      <c r="M2578" s="276"/>
      <c r="N2578" s="235"/>
      <c r="O2578" s="235"/>
      <c r="P2578" s="235"/>
      <c r="Q2578" s="235"/>
      <c r="R2578" s="235"/>
      <c r="S2578" s="236"/>
      <c r="T2578" s="236"/>
      <c r="U2578" s="236"/>
      <c r="V2578" s="235"/>
      <c r="W2578" s="235"/>
      <c r="X2578" s="235"/>
      <c r="Y2578" s="235"/>
      <c r="Z2578" s="235"/>
    </row>
    <row r="2579" spans="1:26" ht="18" customHeight="1" x14ac:dyDescent="0.2">
      <c r="A2579" s="279">
        <f t="shared" si="2591"/>
        <v>45430</v>
      </c>
      <c r="B2579" s="279" t="s">
        <v>195</v>
      </c>
      <c r="C2579" s="197"/>
      <c r="D2579" s="197"/>
      <c r="E2579" s="197"/>
      <c r="F2579" s="197"/>
      <c r="G2579" s="198"/>
      <c r="H2579" s="199"/>
      <c r="I2579" s="199"/>
      <c r="J2579" s="200"/>
      <c r="K2579" s="201"/>
      <c r="L2579" s="276"/>
      <c r="M2579" s="276"/>
      <c r="N2579" s="235"/>
      <c r="O2579" s="235"/>
      <c r="P2579" s="235"/>
      <c r="Q2579" s="235"/>
      <c r="R2579" s="235"/>
      <c r="S2579" s="236"/>
      <c r="T2579" s="236"/>
      <c r="U2579" s="236"/>
      <c r="V2579" s="235"/>
      <c r="W2579" s="235"/>
      <c r="X2579" s="235"/>
      <c r="Y2579" s="235"/>
      <c r="Z2579" s="235"/>
    </row>
    <row r="2580" spans="1:26" ht="18" customHeight="1" x14ac:dyDescent="0.2">
      <c r="A2580" s="279">
        <f t="shared" si="2591"/>
        <v>45431</v>
      </c>
      <c r="B2580" s="278" t="s">
        <v>190</v>
      </c>
      <c r="C2580" s="197"/>
      <c r="D2580" s="197"/>
      <c r="E2580" s="197"/>
      <c r="F2580" s="197"/>
      <c r="G2580" s="198"/>
      <c r="H2580" s="199"/>
      <c r="I2580" s="199"/>
      <c r="J2580" s="200"/>
      <c r="K2580" s="201"/>
      <c r="L2580" s="276"/>
      <c r="M2580" s="276"/>
      <c r="N2580" s="235"/>
      <c r="O2580" s="235"/>
      <c r="P2580" s="235"/>
      <c r="Q2580" s="235"/>
      <c r="R2580" s="235"/>
      <c r="S2580" s="236"/>
      <c r="T2580" s="236"/>
      <c r="U2580" s="236"/>
      <c r="V2580" s="235"/>
      <c r="W2580" s="235"/>
      <c r="X2580" s="235"/>
      <c r="Y2580" s="235"/>
      <c r="Z2580" s="235"/>
    </row>
    <row r="2581" spans="1:26" ht="18" customHeight="1" x14ac:dyDescent="0.2">
      <c r="A2581" s="279">
        <f t="shared" si="2591"/>
        <v>45432</v>
      </c>
      <c r="B2581" s="280" t="s">
        <v>191</v>
      </c>
      <c r="C2581" s="197"/>
      <c r="D2581" s="197"/>
      <c r="E2581" s="197"/>
      <c r="F2581" s="197"/>
      <c r="G2581" s="198"/>
      <c r="H2581" s="199"/>
      <c r="I2581" s="199"/>
      <c r="J2581" s="200"/>
      <c r="K2581" s="201"/>
      <c r="L2581" s="276"/>
      <c r="M2581" s="276"/>
      <c r="N2581" s="235"/>
      <c r="O2581" s="235"/>
      <c r="P2581" s="235"/>
      <c r="Q2581" s="235"/>
      <c r="R2581" s="235"/>
      <c r="S2581" s="236"/>
      <c r="T2581" s="236"/>
      <c r="U2581" s="236"/>
      <c r="V2581" s="235"/>
      <c r="W2581" s="235"/>
      <c r="X2581" s="235"/>
      <c r="Y2581" s="235"/>
      <c r="Z2581" s="235"/>
    </row>
    <row r="2582" spans="1:26" ht="18" customHeight="1" x14ac:dyDescent="0.2">
      <c r="A2582" s="279">
        <f t="shared" si="2591"/>
        <v>45433</v>
      </c>
      <c r="B2582" s="280" t="s">
        <v>192</v>
      </c>
      <c r="C2582" s="197"/>
      <c r="D2582" s="197"/>
      <c r="E2582" s="197"/>
      <c r="F2582" s="197"/>
      <c r="G2582" s="198"/>
      <c r="H2582" s="199"/>
      <c r="I2582" s="199"/>
      <c r="J2582" s="200"/>
      <c r="K2582" s="201"/>
      <c r="L2582" s="276"/>
      <c r="M2582" s="276"/>
      <c r="N2582" s="235"/>
      <c r="O2582" s="235"/>
      <c r="P2582" s="235"/>
      <c r="Q2582" s="235"/>
      <c r="R2582" s="235"/>
      <c r="S2582" s="236"/>
      <c r="T2582" s="236"/>
      <c r="U2582" s="236"/>
      <c r="V2582" s="235"/>
      <c r="W2582" s="235"/>
      <c r="X2582" s="235"/>
      <c r="Y2582" s="235"/>
      <c r="Z2582" s="235"/>
    </row>
    <row r="2583" spans="1:26" ht="18" customHeight="1" x14ac:dyDescent="0.2">
      <c r="A2583" s="279">
        <f t="shared" si="2591"/>
        <v>45434</v>
      </c>
      <c r="B2583" s="280" t="s">
        <v>193</v>
      </c>
      <c r="C2583" s="197"/>
      <c r="D2583" s="197"/>
      <c r="E2583" s="197"/>
      <c r="F2583" s="197"/>
      <c r="G2583" s="198"/>
      <c r="H2583" s="199"/>
      <c r="I2583" s="199"/>
      <c r="J2583" s="200"/>
      <c r="K2583" s="201"/>
      <c r="L2583" s="276"/>
      <c r="M2583" s="276"/>
      <c r="N2583" s="235"/>
      <c r="O2583" s="235"/>
      <c r="P2583" s="235"/>
      <c r="Q2583" s="235"/>
      <c r="R2583" s="235"/>
      <c r="S2583" s="236"/>
      <c r="T2583" s="236"/>
      <c r="U2583" s="236"/>
      <c r="V2583" s="235"/>
      <c r="W2583" s="235"/>
      <c r="X2583" s="235"/>
      <c r="Y2583" s="235"/>
      <c r="Z2583" s="235"/>
    </row>
    <row r="2584" spans="1:26" ht="18" customHeight="1" x14ac:dyDescent="0.2">
      <c r="A2584" s="279">
        <f t="shared" si="2591"/>
        <v>45435</v>
      </c>
      <c r="B2584" s="280" t="s">
        <v>194</v>
      </c>
      <c r="C2584" s="197"/>
      <c r="D2584" s="197"/>
      <c r="E2584" s="197"/>
      <c r="F2584" s="197"/>
      <c r="G2584" s="198"/>
      <c r="H2584" s="199"/>
      <c r="I2584" s="199"/>
      <c r="J2584" s="200"/>
      <c r="K2584" s="201"/>
      <c r="L2584" s="276"/>
      <c r="M2584" s="276"/>
      <c r="N2584" s="235"/>
      <c r="O2584" s="235"/>
      <c r="P2584" s="235"/>
      <c r="Q2584" s="235"/>
      <c r="R2584" s="235"/>
      <c r="S2584" s="236"/>
      <c r="T2584" s="236"/>
      <c r="U2584" s="236"/>
      <c r="V2584" s="235"/>
      <c r="W2584" s="235"/>
      <c r="X2584" s="235"/>
      <c r="Y2584" s="235"/>
      <c r="Z2584" s="235"/>
    </row>
    <row r="2585" spans="1:26" ht="18" customHeight="1" x14ac:dyDescent="0.2">
      <c r="A2585" s="279">
        <f t="shared" si="2591"/>
        <v>45436</v>
      </c>
      <c r="B2585" s="278" t="s">
        <v>189</v>
      </c>
      <c r="C2585" s="197"/>
      <c r="D2585" s="197"/>
      <c r="E2585" s="197"/>
      <c r="F2585" s="197"/>
      <c r="G2585" s="198"/>
      <c r="H2585" s="199"/>
      <c r="I2585" s="199"/>
      <c r="J2585" s="200"/>
      <c r="K2585" s="201"/>
      <c r="L2585" s="276"/>
      <c r="M2585" s="276"/>
      <c r="N2585" s="235"/>
      <c r="O2585" s="235"/>
      <c r="P2585" s="235"/>
      <c r="Q2585" s="235"/>
      <c r="R2585" s="235"/>
      <c r="S2585" s="236"/>
      <c r="T2585" s="236"/>
      <c r="U2585" s="236"/>
      <c r="V2585" s="235"/>
      <c r="W2585" s="235"/>
      <c r="X2585" s="235"/>
      <c r="Y2585" s="235"/>
      <c r="Z2585" s="235"/>
    </row>
    <row r="2586" spans="1:26" ht="18" customHeight="1" x14ac:dyDescent="0.2">
      <c r="A2586" s="279">
        <f t="shared" si="2591"/>
        <v>45437</v>
      </c>
      <c r="B2586" s="279" t="s">
        <v>195</v>
      </c>
      <c r="C2586" s="197"/>
      <c r="D2586" s="197"/>
      <c r="E2586" s="197"/>
      <c r="F2586" s="197"/>
      <c r="G2586" s="198"/>
      <c r="H2586" s="199"/>
      <c r="I2586" s="199"/>
      <c r="J2586" s="200"/>
      <c r="K2586" s="201"/>
      <c r="L2586" s="276"/>
      <c r="M2586" s="276"/>
      <c r="N2586" s="235"/>
      <c r="O2586" s="235"/>
      <c r="P2586" s="235"/>
      <c r="Q2586" s="235"/>
      <c r="R2586" s="235"/>
      <c r="S2586" s="236"/>
      <c r="T2586" s="236"/>
      <c r="U2586" s="236"/>
      <c r="V2586" s="235"/>
      <c r="W2586" s="235"/>
      <c r="X2586" s="235"/>
      <c r="Y2586" s="235"/>
      <c r="Z2586" s="235"/>
    </row>
    <row r="2587" spans="1:26" ht="18" customHeight="1" x14ac:dyDescent="0.2">
      <c r="A2587" s="279">
        <f t="shared" si="2591"/>
        <v>45438</v>
      </c>
      <c r="B2587" s="278" t="s">
        <v>190</v>
      </c>
      <c r="C2587" s="197"/>
      <c r="D2587" s="197"/>
      <c r="E2587" s="197"/>
      <c r="F2587" s="197"/>
      <c r="G2587" s="198"/>
      <c r="H2587" s="199"/>
      <c r="I2587" s="199"/>
      <c r="J2587" s="200"/>
      <c r="K2587" s="201"/>
      <c r="L2587" s="276"/>
      <c r="M2587" s="276"/>
      <c r="N2587" s="235"/>
      <c r="O2587" s="235"/>
      <c r="P2587" s="235"/>
      <c r="Q2587" s="235"/>
      <c r="R2587" s="235"/>
      <c r="S2587" s="236"/>
      <c r="T2587" s="236"/>
      <c r="U2587" s="236"/>
      <c r="V2587" s="235"/>
      <c r="W2587" s="235"/>
      <c r="X2587" s="235"/>
      <c r="Y2587" s="235"/>
      <c r="Z2587" s="235"/>
    </row>
    <row r="2588" spans="1:26" ht="18" customHeight="1" x14ac:dyDescent="0.2">
      <c r="A2588" s="279">
        <f t="shared" si="2591"/>
        <v>45439</v>
      </c>
      <c r="B2588" s="280" t="s">
        <v>191</v>
      </c>
      <c r="C2588" s="197"/>
      <c r="D2588" s="197"/>
      <c r="E2588" s="197"/>
      <c r="F2588" s="197"/>
      <c r="G2588" s="198"/>
      <c r="H2588" s="199"/>
      <c r="I2588" s="199"/>
      <c r="J2588" s="200"/>
      <c r="K2588" s="201"/>
      <c r="L2588" s="276"/>
      <c r="M2588" s="276"/>
      <c r="N2588" s="235"/>
      <c r="O2588" s="235"/>
      <c r="P2588" s="235"/>
      <c r="Q2588" s="235"/>
      <c r="R2588" s="235"/>
      <c r="S2588" s="236"/>
      <c r="T2588" s="236"/>
      <c r="U2588" s="236"/>
      <c r="V2588" s="235"/>
      <c r="W2588" s="235"/>
      <c r="X2588" s="235"/>
      <c r="Y2588" s="235"/>
      <c r="Z2588" s="235"/>
    </row>
    <row r="2589" spans="1:26" ht="18" customHeight="1" x14ac:dyDescent="0.2">
      <c r="A2589" s="279">
        <f t="shared" si="2591"/>
        <v>45440</v>
      </c>
      <c r="B2589" s="280" t="s">
        <v>192</v>
      </c>
      <c r="C2589" s="197"/>
      <c r="D2589" s="197"/>
      <c r="E2589" s="197"/>
      <c r="F2589" s="197"/>
      <c r="G2589" s="198"/>
      <c r="H2589" s="199"/>
      <c r="I2589" s="199"/>
      <c r="J2589" s="200"/>
      <c r="K2589" s="201"/>
      <c r="L2589" s="276"/>
      <c r="M2589" s="276"/>
      <c r="N2589" s="235"/>
      <c r="O2589" s="235"/>
      <c r="P2589" s="235"/>
      <c r="Q2589" s="235"/>
      <c r="R2589" s="235"/>
      <c r="S2589" s="236"/>
      <c r="T2589" s="236"/>
      <c r="U2589" s="236"/>
      <c r="V2589" s="235"/>
      <c r="W2589" s="235"/>
      <c r="X2589" s="235"/>
      <c r="Y2589" s="235"/>
      <c r="Z2589" s="235"/>
    </row>
    <row r="2590" spans="1:26" ht="18" customHeight="1" x14ac:dyDescent="0.2">
      <c r="A2590" s="279">
        <f t="shared" si="2591"/>
        <v>45441</v>
      </c>
      <c r="B2590" s="280" t="s">
        <v>193</v>
      </c>
      <c r="C2590" s="197"/>
      <c r="D2590" s="197"/>
      <c r="E2590" s="197"/>
      <c r="F2590" s="197"/>
      <c r="G2590" s="198"/>
      <c r="H2590" s="199"/>
      <c r="I2590" s="199"/>
      <c r="J2590" s="200"/>
      <c r="K2590" s="201"/>
      <c r="L2590" s="276"/>
      <c r="M2590" s="276"/>
      <c r="N2590" s="235"/>
      <c r="O2590" s="235"/>
      <c r="P2590" s="235"/>
      <c r="Q2590" s="235"/>
      <c r="R2590" s="235"/>
      <c r="S2590" s="236"/>
      <c r="T2590" s="236"/>
      <c r="U2590" s="236"/>
      <c r="V2590" s="235"/>
      <c r="W2590" s="235"/>
      <c r="X2590" s="235"/>
      <c r="Y2590" s="235"/>
      <c r="Z2590" s="235"/>
    </row>
    <row r="2591" spans="1:26" ht="18" customHeight="1" x14ac:dyDescent="0.2">
      <c r="A2591" s="279">
        <f t="shared" si="2591"/>
        <v>45442</v>
      </c>
      <c r="B2591" s="280" t="s">
        <v>194</v>
      </c>
      <c r="C2591" s="197"/>
      <c r="D2591" s="197"/>
      <c r="E2591" s="197"/>
      <c r="F2591" s="197"/>
      <c r="G2591" s="198"/>
      <c r="H2591" s="199"/>
      <c r="I2591" s="199"/>
      <c r="J2591" s="200"/>
      <c r="K2591" s="201"/>
      <c r="L2591" s="276"/>
      <c r="M2591" s="276"/>
      <c r="N2591" s="235"/>
      <c r="O2591" s="235"/>
      <c r="P2591" s="235"/>
      <c r="Q2591" s="235"/>
      <c r="R2591" s="235"/>
      <c r="S2591" s="236"/>
      <c r="T2591" s="236"/>
      <c r="U2591" s="236"/>
      <c r="V2591" s="235"/>
      <c r="W2591" s="235"/>
      <c r="X2591" s="235"/>
      <c r="Y2591" s="235"/>
      <c r="Z2591" s="235"/>
    </row>
    <row r="2592" spans="1:26" ht="18" customHeight="1" x14ac:dyDescent="0.2">
      <c r="A2592" s="279">
        <f t="shared" si="2591"/>
        <v>45443</v>
      </c>
      <c r="B2592" s="278" t="s">
        <v>189</v>
      </c>
      <c r="C2592" s="197"/>
      <c r="D2592" s="197"/>
      <c r="E2592" s="197"/>
      <c r="F2592" s="197"/>
      <c r="G2592" s="198"/>
      <c r="H2592" s="199"/>
      <c r="I2592" s="199"/>
      <c r="J2592" s="200"/>
      <c r="K2592" s="201"/>
      <c r="L2592" s="276"/>
      <c r="M2592" s="276"/>
      <c r="N2592" s="235"/>
      <c r="O2592" s="235"/>
      <c r="P2592" s="235"/>
      <c r="Q2592" s="235"/>
      <c r="R2592" s="235"/>
      <c r="S2592" s="236"/>
      <c r="T2592" s="236"/>
      <c r="U2592" s="236"/>
      <c r="V2592" s="235"/>
      <c r="W2592" s="235"/>
      <c r="X2592" s="235"/>
      <c r="Y2592" s="235"/>
      <c r="Z2592" s="235"/>
    </row>
    <row r="2593" spans="1:26" ht="18" customHeight="1" x14ac:dyDescent="0.2">
      <c r="A2593" s="279">
        <f t="shared" si="2591"/>
        <v>45444</v>
      </c>
      <c r="B2593" s="279" t="s">
        <v>195</v>
      </c>
      <c r="C2593" s="197"/>
      <c r="D2593" s="197"/>
      <c r="E2593" s="197"/>
      <c r="F2593" s="197"/>
      <c r="G2593" s="198"/>
      <c r="H2593" s="199"/>
      <c r="I2593" s="199"/>
      <c r="J2593" s="200"/>
      <c r="K2593" s="201"/>
      <c r="L2593" s="276"/>
      <c r="M2593" s="276"/>
      <c r="N2593" s="235"/>
      <c r="O2593" s="235"/>
      <c r="P2593" s="235"/>
      <c r="Q2593" s="235"/>
      <c r="R2593" s="235"/>
      <c r="S2593" s="236"/>
      <c r="T2593" s="236"/>
      <c r="U2593" s="236"/>
      <c r="V2593" s="235"/>
      <c r="W2593" s="235"/>
      <c r="X2593" s="235"/>
      <c r="Y2593" s="235"/>
      <c r="Z2593" s="235"/>
    </row>
    <row r="2594" spans="1:26" ht="18" customHeight="1" x14ac:dyDescent="0.2">
      <c r="A2594" s="279">
        <f t="shared" si="2591"/>
        <v>45445</v>
      </c>
      <c r="B2594" s="278" t="s">
        <v>190</v>
      </c>
      <c r="C2594" s="197"/>
      <c r="D2594" s="197"/>
      <c r="E2594" s="197"/>
      <c r="F2594" s="197"/>
      <c r="G2594" s="198"/>
      <c r="H2594" s="199"/>
      <c r="I2594" s="199"/>
      <c r="J2594" s="200"/>
      <c r="K2594" s="201"/>
      <c r="L2594" s="276"/>
      <c r="M2594" s="276"/>
      <c r="N2594" s="235"/>
      <c r="O2594" s="235"/>
      <c r="P2594" s="235"/>
      <c r="Q2594" s="235"/>
      <c r="R2594" s="235"/>
      <c r="S2594" s="236"/>
      <c r="T2594" s="236"/>
      <c r="U2594" s="236"/>
      <c r="V2594" s="235"/>
      <c r="W2594" s="235"/>
      <c r="X2594" s="235"/>
      <c r="Y2594" s="235"/>
      <c r="Z2594" s="235"/>
    </row>
    <row r="2595" spans="1:26" ht="18" customHeight="1" x14ac:dyDescent="0.2">
      <c r="A2595" s="279">
        <f t="shared" si="2591"/>
        <v>45446</v>
      </c>
      <c r="B2595" s="280" t="s">
        <v>191</v>
      </c>
      <c r="C2595" s="197"/>
      <c r="D2595" s="197"/>
      <c r="E2595" s="197"/>
      <c r="F2595" s="197"/>
      <c r="G2595" s="198"/>
      <c r="H2595" s="199"/>
      <c r="I2595" s="199"/>
      <c r="J2595" s="200"/>
      <c r="K2595" s="201"/>
      <c r="L2595" s="276"/>
      <c r="M2595" s="276"/>
      <c r="N2595" s="235"/>
      <c r="O2595" s="235"/>
      <c r="P2595" s="235"/>
      <c r="Q2595" s="235"/>
      <c r="R2595" s="235"/>
      <c r="S2595" s="236"/>
      <c r="T2595" s="236"/>
      <c r="U2595" s="236"/>
      <c r="V2595" s="235"/>
      <c r="W2595" s="235"/>
      <c r="X2595" s="235"/>
      <c r="Y2595" s="235"/>
      <c r="Z2595" s="235"/>
    </row>
    <row r="2596" spans="1:26" ht="18" customHeight="1" x14ac:dyDescent="0.2">
      <c r="A2596" s="279">
        <f t="shared" si="2591"/>
        <v>45447</v>
      </c>
      <c r="B2596" s="280" t="s">
        <v>192</v>
      </c>
      <c r="C2596" s="197"/>
      <c r="D2596" s="197"/>
      <c r="E2596" s="197"/>
      <c r="F2596" s="197"/>
      <c r="G2596" s="198"/>
      <c r="H2596" s="199"/>
      <c r="I2596" s="199"/>
      <c r="J2596" s="200"/>
      <c r="K2596" s="201"/>
      <c r="L2596" s="276"/>
      <c r="M2596" s="276"/>
      <c r="N2596" s="235"/>
      <c r="O2596" s="235"/>
      <c r="P2596" s="235"/>
      <c r="Q2596" s="235"/>
      <c r="R2596" s="235"/>
      <c r="S2596" s="236"/>
      <c r="T2596" s="236"/>
      <c r="U2596" s="236"/>
      <c r="V2596" s="235"/>
      <c r="W2596" s="235"/>
      <c r="X2596" s="235"/>
      <c r="Y2596" s="235"/>
      <c r="Z2596" s="235"/>
    </row>
    <row r="2597" spans="1:26" ht="18" customHeight="1" x14ac:dyDescent="0.2">
      <c r="B2597" s="280" t="s">
        <v>193</v>
      </c>
    </row>
    <row r="2598" spans="1:26" ht="18" customHeight="1" x14ac:dyDescent="0.2">
      <c r="B2598" s="280" t="s">
        <v>194</v>
      </c>
    </row>
    <row r="2599" spans="1:26" ht="18" customHeight="1" x14ac:dyDescent="0.2">
      <c r="B2599" s="278" t="s">
        <v>189</v>
      </c>
    </row>
    <row r="2600" spans="1:26" ht="18" customHeight="1" x14ac:dyDescent="0.2">
      <c r="B2600" s="279" t="s">
        <v>195</v>
      </c>
    </row>
    <row r="2601" spans="1:26" ht="18" customHeight="1" x14ac:dyDescent="0.2">
      <c r="B2601" s="278" t="s">
        <v>190</v>
      </c>
    </row>
  </sheetData>
  <autoFilter ref="A4:F1822" xr:uid="{23546693-A417-4BF3-8E9B-DD9DE8BF1ECE}">
    <filterColumn colId="0" showButton="0">
      <filters>
        <dateGroupItem year="2022" dateTimeGrouping="year"/>
        <dateGroupItem year="2021" month="11" dateTimeGrouping="month"/>
        <dateGroupItem year="2021" month="12" dateTimeGrouping="month"/>
      </filters>
    </filterColumn>
  </autoFilter>
  <mergeCells count="10">
    <mergeCell ref="N2:Z2"/>
    <mergeCell ref="A4:B4"/>
    <mergeCell ref="A2:B2"/>
    <mergeCell ref="C1:F1"/>
    <mergeCell ref="G1:G2"/>
    <mergeCell ref="J1:J2"/>
    <mergeCell ref="K1:K2"/>
    <mergeCell ref="A3:B3"/>
    <mergeCell ref="H1:I1"/>
    <mergeCell ref="L2:M3"/>
  </mergeCells>
  <phoneticPr fontId="2" type="noConversion"/>
  <pageMargins left="0.23622047244094491" right="0.15748031496062992" top="0.55118110236220474" bottom="0.19685039370078741" header="0.31496062992125984" footer="0.15748031496062992"/>
  <pageSetup paperSize="9" scale="85" fitToWidth="0" fitToHeight="0" orientation="landscape" useFirstPageNumber="1" r:id="rId1"/>
  <headerFooter alignWithMargins="0">
    <oddHeader>&amp;C&amp;"新細明體,標準"&amp;14&amp;A電費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BN37"/>
  <sheetViews>
    <sheetView zoomScaleSheetLayoutView="100" workbookViewId="0">
      <selection activeCell="BN10" sqref="BN10"/>
    </sheetView>
  </sheetViews>
  <sheetFormatPr defaultColWidth="9" defaultRowHeight="19.149999999999999" customHeight="1" x14ac:dyDescent="0.2"/>
  <cols>
    <col min="1" max="1" width="14" style="4" customWidth="1"/>
    <col min="2" max="3" width="7" style="41" customWidth="1"/>
    <col min="4" max="10" width="9" style="4" hidden="1" customWidth="1"/>
    <col min="11" max="11" width="9" style="72" hidden="1" customWidth="1"/>
    <col min="12" max="14" width="10" style="4" hidden="1" customWidth="1"/>
    <col min="15" max="15" width="11" style="4" hidden="1" customWidth="1"/>
    <col min="16" max="17" width="10" style="4" hidden="1" customWidth="1"/>
    <col min="18" max="18" width="11" style="4" hidden="1" customWidth="1"/>
    <col min="19" max="19" width="9" style="4" hidden="1" customWidth="1"/>
    <col min="20" max="30" width="10" style="4" hidden="1" customWidth="1"/>
    <col min="31" max="31" width="9" style="4" hidden="1" customWidth="1"/>
    <col min="32" max="42" width="10" style="4" hidden="1" customWidth="1"/>
    <col min="43" max="47" width="0" style="4" hidden="1" customWidth="1"/>
    <col min="48" max="49" width="10" style="4" hidden="1" customWidth="1"/>
    <col min="50" max="50" width="12" style="4" hidden="1" customWidth="1"/>
    <col min="51" max="51" width="11" style="4" hidden="1" customWidth="1"/>
    <col min="52" max="52" width="10" style="4" hidden="1" customWidth="1"/>
    <col min="53" max="53" width="11" style="4" hidden="1" customWidth="1"/>
    <col min="54" max="54" width="10" style="4" hidden="1" customWidth="1"/>
    <col min="55" max="55" width="9" style="4" bestFit="1" customWidth="1"/>
    <col min="56" max="56" width="9" style="4"/>
    <col min="57" max="57" width="10" style="4" customWidth="1"/>
    <col min="58" max="59" width="9" style="4"/>
    <col min="60" max="61" width="10" style="4" customWidth="1"/>
    <col min="62" max="62" width="12" style="4" customWidth="1"/>
    <col min="63" max="63" width="11" style="4" customWidth="1"/>
    <col min="64" max="64" width="10" style="4" customWidth="1"/>
    <col min="65" max="65" width="11" style="4" customWidth="1"/>
    <col min="66" max="66" width="10" style="4" customWidth="1"/>
    <col min="67" max="16384" width="9" style="4"/>
  </cols>
  <sheetData>
    <row r="1" spans="1:66" ht="21" customHeight="1" x14ac:dyDescent="0.25">
      <c r="A1" s="342" t="s">
        <v>4</v>
      </c>
      <c r="B1" s="17" t="s">
        <v>83</v>
      </c>
      <c r="C1" s="17" t="s">
        <v>84</v>
      </c>
      <c r="D1" s="18">
        <v>10510</v>
      </c>
      <c r="E1" s="18">
        <v>10511</v>
      </c>
      <c r="F1" s="18">
        <v>10512</v>
      </c>
      <c r="G1" s="18">
        <v>10601</v>
      </c>
      <c r="H1" s="18">
        <v>10602</v>
      </c>
      <c r="I1" s="18">
        <v>10603</v>
      </c>
      <c r="J1" s="18">
        <v>10604</v>
      </c>
      <c r="K1" s="18">
        <v>10605</v>
      </c>
      <c r="L1" s="18">
        <v>10606</v>
      </c>
      <c r="M1" s="18">
        <v>10607</v>
      </c>
      <c r="N1" s="18">
        <v>10608</v>
      </c>
      <c r="O1" s="18">
        <v>10609</v>
      </c>
      <c r="P1" s="18">
        <v>10610</v>
      </c>
      <c r="Q1" s="18">
        <v>10611</v>
      </c>
      <c r="R1" s="18">
        <v>10612</v>
      </c>
      <c r="S1" s="18">
        <v>10701</v>
      </c>
      <c r="T1" s="18">
        <v>10702</v>
      </c>
      <c r="U1" s="18">
        <v>10703</v>
      </c>
      <c r="V1" s="18">
        <v>10704</v>
      </c>
      <c r="W1" s="18">
        <v>10705</v>
      </c>
      <c r="X1" s="18">
        <v>10706</v>
      </c>
      <c r="Y1" s="18">
        <v>10707</v>
      </c>
      <c r="Z1" s="18">
        <v>10708</v>
      </c>
      <c r="AA1" s="18">
        <v>10709</v>
      </c>
      <c r="AB1" s="18">
        <v>10710</v>
      </c>
      <c r="AC1" s="18">
        <v>10711</v>
      </c>
      <c r="AD1" s="18">
        <v>10712</v>
      </c>
      <c r="AE1" s="18">
        <v>10801</v>
      </c>
      <c r="AF1" s="18">
        <v>10802</v>
      </c>
      <c r="AG1" s="18">
        <v>10803</v>
      </c>
      <c r="AH1" s="18">
        <v>10804</v>
      </c>
      <c r="AI1" s="18">
        <v>10805</v>
      </c>
      <c r="AJ1" s="18">
        <v>10806</v>
      </c>
      <c r="AK1" s="18">
        <v>10807</v>
      </c>
      <c r="AL1" s="18">
        <v>10808</v>
      </c>
      <c r="AM1" s="18">
        <v>10809</v>
      </c>
      <c r="AN1" s="18">
        <v>10810</v>
      </c>
      <c r="AO1" s="18">
        <v>10811</v>
      </c>
      <c r="AP1" s="18">
        <v>10812</v>
      </c>
      <c r="AQ1" s="18">
        <v>10901</v>
      </c>
      <c r="AR1" s="18">
        <v>10902</v>
      </c>
      <c r="AS1" s="18">
        <v>10903</v>
      </c>
      <c r="AT1" s="18">
        <v>10904</v>
      </c>
      <c r="AU1" s="18">
        <v>10905</v>
      </c>
      <c r="AV1" s="18">
        <v>10906</v>
      </c>
      <c r="AW1" s="18">
        <v>10907</v>
      </c>
      <c r="AX1" s="18">
        <v>10908</v>
      </c>
      <c r="AY1" s="18">
        <v>10909</v>
      </c>
      <c r="AZ1" s="18">
        <v>10910</v>
      </c>
      <c r="BA1" s="18">
        <v>10911</v>
      </c>
      <c r="BB1" s="18">
        <v>10912</v>
      </c>
      <c r="BC1" s="18">
        <v>11001</v>
      </c>
      <c r="BD1" s="18">
        <v>11002</v>
      </c>
      <c r="BE1" s="18">
        <v>11003</v>
      </c>
      <c r="BF1" s="18">
        <v>11004</v>
      </c>
      <c r="BG1" s="18">
        <v>11005</v>
      </c>
      <c r="BH1" s="18">
        <v>11006</v>
      </c>
      <c r="BI1" s="18">
        <v>11007</v>
      </c>
      <c r="BJ1" s="18">
        <v>11008</v>
      </c>
      <c r="BK1" s="18">
        <v>11009</v>
      </c>
      <c r="BL1" s="18">
        <v>11010</v>
      </c>
      <c r="BM1" s="18">
        <v>11011</v>
      </c>
      <c r="BN1" s="18">
        <v>11012</v>
      </c>
    </row>
    <row r="2" spans="1:66" ht="21" customHeight="1" x14ac:dyDescent="0.25">
      <c r="A2" s="343"/>
      <c r="B2" s="19" t="s">
        <v>85</v>
      </c>
      <c r="C2" s="17" t="s">
        <v>63</v>
      </c>
      <c r="D2" s="20" t="s">
        <v>79</v>
      </c>
      <c r="E2" s="20" t="s">
        <v>80</v>
      </c>
      <c r="F2" s="20" t="s">
        <v>81</v>
      </c>
      <c r="G2" s="20" t="s">
        <v>70</v>
      </c>
      <c r="H2" s="20" t="s">
        <v>71</v>
      </c>
      <c r="I2" s="20" t="s">
        <v>72</v>
      </c>
      <c r="J2" s="20" t="s">
        <v>73</v>
      </c>
      <c r="K2" s="67" t="s">
        <v>74</v>
      </c>
      <c r="L2" s="20" t="s">
        <v>75</v>
      </c>
      <c r="M2" s="20" t="s">
        <v>76</v>
      </c>
      <c r="N2" s="20" t="s">
        <v>77</v>
      </c>
      <c r="O2" s="20" t="s">
        <v>78</v>
      </c>
      <c r="P2" s="20" t="s">
        <v>79</v>
      </c>
      <c r="Q2" s="20" t="s">
        <v>80</v>
      </c>
      <c r="R2" s="20" t="s">
        <v>81</v>
      </c>
      <c r="S2" s="20" t="s">
        <v>70</v>
      </c>
      <c r="T2" s="20" t="s">
        <v>71</v>
      </c>
      <c r="U2" s="20" t="s">
        <v>72</v>
      </c>
      <c r="V2" s="20" t="s">
        <v>73</v>
      </c>
      <c r="W2" s="67" t="s">
        <v>74</v>
      </c>
      <c r="X2" s="192" t="s">
        <v>75</v>
      </c>
      <c r="Y2" s="192" t="s">
        <v>76</v>
      </c>
      <c r="Z2" s="192" t="s">
        <v>77</v>
      </c>
      <c r="AA2" s="192" t="s">
        <v>78</v>
      </c>
      <c r="AB2" s="20" t="s">
        <v>79</v>
      </c>
      <c r="AC2" s="20" t="s">
        <v>80</v>
      </c>
      <c r="AD2" s="20" t="s">
        <v>81</v>
      </c>
      <c r="AE2" s="20" t="s">
        <v>70</v>
      </c>
      <c r="AF2" s="20" t="s">
        <v>71</v>
      </c>
      <c r="AG2" s="20" t="s">
        <v>72</v>
      </c>
      <c r="AH2" s="20" t="s">
        <v>73</v>
      </c>
      <c r="AI2" s="67" t="s">
        <v>74</v>
      </c>
      <c r="AJ2" s="192" t="s">
        <v>75</v>
      </c>
      <c r="AK2" s="192" t="s">
        <v>76</v>
      </c>
      <c r="AL2" s="192" t="s">
        <v>77</v>
      </c>
      <c r="AM2" s="192" t="s">
        <v>78</v>
      </c>
      <c r="AN2" s="20" t="s">
        <v>79</v>
      </c>
      <c r="AO2" s="20" t="s">
        <v>80</v>
      </c>
      <c r="AP2" s="20" t="s">
        <v>81</v>
      </c>
      <c r="AQ2" s="20" t="s">
        <v>70</v>
      </c>
      <c r="AR2" s="20" t="s">
        <v>71</v>
      </c>
      <c r="AS2" s="20" t="s">
        <v>72</v>
      </c>
      <c r="AT2" s="20" t="s">
        <v>73</v>
      </c>
      <c r="AU2" s="67" t="s">
        <v>74</v>
      </c>
      <c r="AV2" s="192" t="s">
        <v>75</v>
      </c>
      <c r="AW2" s="192" t="s">
        <v>76</v>
      </c>
      <c r="AX2" s="192" t="s">
        <v>77</v>
      </c>
      <c r="AY2" s="192" t="s">
        <v>78</v>
      </c>
      <c r="AZ2" s="20" t="s">
        <v>79</v>
      </c>
      <c r="BA2" s="20" t="s">
        <v>80</v>
      </c>
      <c r="BB2" s="20" t="s">
        <v>81</v>
      </c>
      <c r="BC2" s="20" t="s">
        <v>70</v>
      </c>
      <c r="BD2" s="20" t="s">
        <v>71</v>
      </c>
      <c r="BE2" s="20" t="s">
        <v>72</v>
      </c>
      <c r="BF2" s="20" t="s">
        <v>73</v>
      </c>
      <c r="BG2" s="67" t="s">
        <v>74</v>
      </c>
      <c r="BH2" s="192" t="s">
        <v>75</v>
      </c>
      <c r="BI2" s="192" t="s">
        <v>76</v>
      </c>
      <c r="BJ2" s="192" t="s">
        <v>77</v>
      </c>
      <c r="BK2" s="192" t="s">
        <v>78</v>
      </c>
      <c r="BL2" s="20" t="s">
        <v>79</v>
      </c>
      <c r="BM2" s="20" t="s">
        <v>80</v>
      </c>
      <c r="BN2" s="20" t="s">
        <v>81</v>
      </c>
    </row>
    <row r="3" spans="1:66" ht="16.899999999999999" customHeight="1" x14ac:dyDescent="0.25">
      <c r="A3" s="21" t="s">
        <v>5</v>
      </c>
      <c r="B3" s="63">
        <v>223.6</v>
      </c>
      <c r="C3" s="63">
        <v>166.9</v>
      </c>
      <c r="D3" s="22">
        <f>C3</f>
        <v>166.9</v>
      </c>
      <c r="E3" s="22">
        <f>C3</f>
        <v>166.9</v>
      </c>
      <c r="F3" s="22">
        <f>C3</f>
        <v>166.9</v>
      </c>
      <c r="G3" s="22">
        <f>C3</f>
        <v>166.9</v>
      </c>
      <c r="H3" s="22">
        <f t="shared" ref="H3:K6" si="0">G3</f>
        <v>166.9</v>
      </c>
      <c r="I3" s="22">
        <f t="shared" si="0"/>
        <v>166.9</v>
      </c>
      <c r="J3" s="22">
        <f t="shared" si="0"/>
        <v>166.9</v>
      </c>
      <c r="K3" s="68">
        <f t="shared" si="0"/>
        <v>166.9</v>
      </c>
      <c r="L3" s="22">
        <f>B3</f>
        <v>223.6</v>
      </c>
      <c r="M3" s="22">
        <f>B3</f>
        <v>223.6</v>
      </c>
      <c r="N3" s="22">
        <f>B3</f>
        <v>223.6</v>
      </c>
      <c r="O3" s="22">
        <f>B3</f>
        <v>223.6</v>
      </c>
      <c r="P3" s="22">
        <f>K3</f>
        <v>166.9</v>
      </c>
      <c r="Q3" s="22">
        <f t="shared" ref="Q3:R6" si="1">P3</f>
        <v>166.9</v>
      </c>
      <c r="R3" s="22">
        <f t="shared" si="1"/>
        <v>166.9</v>
      </c>
      <c r="S3" s="22">
        <f t="shared" ref="S3:W6" si="2">R3</f>
        <v>166.9</v>
      </c>
      <c r="T3" s="22">
        <f t="shared" si="2"/>
        <v>166.9</v>
      </c>
      <c r="U3" s="22">
        <f t="shared" si="2"/>
        <v>166.9</v>
      </c>
      <c r="V3" s="22">
        <f t="shared" si="2"/>
        <v>166.9</v>
      </c>
      <c r="W3" s="22">
        <f t="shared" si="2"/>
        <v>166.9</v>
      </c>
      <c r="X3" s="22">
        <f>N3</f>
        <v>223.6</v>
      </c>
      <c r="Y3" s="22">
        <f>N3</f>
        <v>223.6</v>
      </c>
      <c r="Z3" s="22">
        <f>N3</f>
        <v>223.6</v>
      </c>
      <c r="AA3" s="22">
        <f>N3</f>
        <v>223.6</v>
      </c>
      <c r="AB3" s="22">
        <f>W3</f>
        <v>166.9</v>
      </c>
      <c r="AC3" s="22">
        <f t="shared" ref="AC3:AD6" si="3">AB3</f>
        <v>166.9</v>
      </c>
      <c r="AD3" s="22">
        <f t="shared" si="3"/>
        <v>166.9</v>
      </c>
      <c r="AE3" s="22">
        <f t="shared" ref="AE3:AI6" si="4">AD3</f>
        <v>166.9</v>
      </c>
      <c r="AF3" s="22">
        <f t="shared" si="4"/>
        <v>166.9</v>
      </c>
      <c r="AG3" s="22">
        <f t="shared" si="4"/>
        <v>166.9</v>
      </c>
      <c r="AH3" s="22">
        <f t="shared" si="4"/>
        <v>166.9</v>
      </c>
      <c r="AI3" s="22">
        <f t="shared" si="4"/>
        <v>166.9</v>
      </c>
      <c r="AJ3" s="22">
        <f>Z3</f>
        <v>223.6</v>
      </c>
      <c r="AK3" s="22">
        <f>Z3</f>
        <v>223.6</v>
      </c>
      <c r="AL3" s="22">
        <f>Z3</f>
        <v>223.6</v>
      </c>
      <c r="AM3" s="22">
        <f>Z3</f>
        <v>223.6</v>
      </c>
      <c r="AN3" s="22">
        <f>AI3</f>
        <v>166.9</v>
      </c>
      <c r="AO3" s="22">
        <f t="shared" ref="AO3:AP6" si="5">AN3</f>
        <v>166.9</v>
      </c>
      <c r="AP3" s="22">
        <f t="shared" si="5"/>
        <v>166.9</v>
      </c>
      <c r="AQ3" s="22">
        <f t="shared" ref="AQ3:AQ6" si="6">AP3</f>
        <v>166.9</v>
      </c>
      <c r="AR3" s="22">
        <f t="shared" ref="AR3:AR6" si="7">AQ3</f>
        <v>166.9</v>
      </c>
      <c r="AS3" s="22">
        <f t="shared" ref="AS3:AS6" si="8">AR3</f>
        <v>166.9</v>
      </c>
      <c r="AT3" s="22">
        <f t="shared" ref="AT3:AT6" si="9">AS3</f>
        <v>166.9</v>
      </c>
      <c r="AU3" s="22">
        <f t="shared" ref="AU3:AU6" si="10">AT3</f>
        <v>166.9</v>
      </c>
      <c r="AV3" s="22">
        <f>AL3</f>
        <v>223.6</v>
      </c>
      <c r="AW3" s="22">
        <f>AL3</f>
        <v>223.6</v>
      </c>
      <c r="AX3" s="22">
        <f>AL3</f>
        <v>223.6</v>
      </c>
      <c r="AY3" s="22">
        <f>AL3</f>
        <v>223.6</v>
      </c>
      <c r="AZ3" s="22">
        <f>AU3</f>
        <v>166.9</v>
      </c>
      <c r="BA3" s="22">
        <f t="shared" ref="BA3:BA6" si="11">AZ3</f>
        <v>166.9</v>
      </c>
      <c r="BB3" s="22">
        <f t="shared" ref="BB3:BB6" si="12">BA3</f>
        <v>166.9</v>
      </c>
      <c r="BC3" s="22">
        <f t="shared" ref="BC3:BC6" si="13">BB3</f>
        <v>166.9</v>
      </c>
      <c r="BD3" s="22">
        <f t="shared" ref="BD3:BD6" si="14">BC3</f>
        <v>166.9</v>
      </c>
      <c r="BE3" s="22">
        <f t="shared" ref="BE3:BE6" si="15">BD3</f>
        <v>166.9</v>
      </c>
      <c r="BF3" s="22">
        <f t="shared" ref="BF3:BF6" si="16">BE3</f>
        <v>166.9</v>
      </c>
      <c r="BG3" s="22">
        <f t="shared" ref="BG3:BG6" si="17">BF3</f>
        <v>166.9</v>
      </c>
      <c r="BH3" s="22">
        <v>223.6</v>
      </c>
      <c r="BI3" s="22">
        <f>AX3</f>
        <v>223.6</v>
      </c>
      <c r="BJ3" s="22">
        <f>AX3</f>
        <v>223.6</v>
      </c>
      <c r="BK3" s="22">
        <f>AX3</f>
        <v>223.6</v>
      </c>
      <c r="BL3" s="22">
        <v>166.9</v>
      </c>
      <c r="BM3" s="22">
        <v>166.9</v>
      </c>
      <c r="BN3" s="22">
        <f t="shared" ref="BN3:BN6" si="18">BM3</f>
        <v>166.9</v>
      </c>
    </row>
    <row r="4" spans="1:66" ht="16.899999999999999" customHeight="1" x14ac:dyDescent="0.25">
      <c r="A4" s="21" t="s">
        <v>60</v>
      </c>
      <c r="B4" s="63">
        <v>0</v>
      </c>
      <c r="C4" s="63">
        <v>166.9</v>
      </c>
      <c r="D4" s="22">
        <f>C4</f>
        <v>166.9</v>
      </c>
      <c r="E4" s="22">
        <f>C4</f>
        <v>166.9</v>
      </c>
      <c r="F4" s="22">
        <f>C4</f>
        <v>166.9</v>
      </c>
      <c r="G4" s="22">
        <f>C4</f>
        <v>166.9</v>
      </c>
      <c r="H4" s="22">
        <f t="shared" si="0"/>
        <v>166.9</v>
      </c>
      <c r="I4" s="22">
        <f t="shared" si="0"/>
        <v>166.9</v>
      </c>
      <c r="J4" s="22">
        <f t="shared" si="0"/>
        <v>166.9</v>
      </c>
      <c r="K4" s="68">
        <f t="shared" si="0"/>
        <v>166.9</v>
      </c>
      <c r="L4" s="22">
        <f>B4</f>
        <v>0</v>
      </c>
      <c r="M4" s="22">
        <f>B4</f>
        <v>0</v>
      </c>
      <c r="N4" s="22">
        <f>B4</f>
        <v>0</v>
      </c>
      <c r="O4" s="22">
        <f>B4</f>
        <v>0</v>
      </c>
      <c r="P4" s="22">
        <f>K4</f>
        <v>166.9</v>
      </c>
      <c r="Q4" s="22">
        <f t="shared" si="1"/>
        <v>166.9</v>
      </c>
      <c r="R4" s="22">
        <f t="shared" si="1"/>
        <v>166.9</v>
      </c>
      <c r="S4" s="22">
        <f t="shared" si="2"/>
        <v>166.9</v>
      </c>
      <c r="T4" s="22">
        <f t="shared" si="2"/>
        <v>166.9</v>
      </c>
      <c r="U4" s="22">
        <f t="shared" si="2"/>
        <v>166.9</v>
      </c>
      <c r="V4" s="22">
        <f t="shared" si="2"/>
        <v>166.9</v>
      </c>
      <c r="W4" s="22">
        <f t="shared" si="2"/>
        <v>166.9</v>
      </c>
      <c r="X4" s="22">
        <f>N4</f>
        <v>0</v>
      </c>
      <c r="Y4" s="22">
        <f>N4</f>
        <v>0</v>
      </c>
      <c r="Z4" s="22">
        <f>N4</f>
        <v>0</v>
      </c>
      <c r="AA4" s="22">
        <f>N4</f>
        <v>0</v>
      </c>
      <c r="AB4" s="22">
        <f>W4</f>
        <v>166.9</v>
      </c>
      <c r="AC4" s="22">
        <f t="shared" si="3"/>
        <v>166.9</v>
      </c>
      <c r="AD4" s="22">
        <f t="shared" si="3"/>
        <v>166.9</v>
      </c>
      <c r="AE4" s="22">
        <f t="shared" si="4"/>
        <v>166.9</v>
      </c>
      <c r="AF4" s="22">
        <f t="shared" si="4"/>
        <v>166.9</v>
      </c>
      <c r="AG4" s="22">
        <f t="shared" si="4"/>
        <v>166.9</v>
      </c>
      <c r="AH4" s="22">
        <f t="shared" si="4"/>
        <v>166.9</v>
      </c>
      <c r="AI4" s="22">
        <f t="shared" si="4"/>
        <v>166.9</v>
      </c>
      <c r="AJ4" s="22">
        <f>Z4</f>
        <v>0</v>
      </c>
      <c r="AK4" s="22">
        <f>Z4</f>
        <v>0</v>
      </c>
      <c r="AL4" s="22">
        <f>Z4</f>
        <v>0</v>
      </c>
      <c r="AM4" s="22">
        <f>Z4</f>
        <v>0</v>
      </c>
      <c r="AN4" s="22">
        <f>AI4</f>
        <v>166.9</v>
      </c>
      <c r="AO4" s="22">
        <f t="shared" si="5"/>
        <v>166.9</v>
      </c>
      <c r="AP4" s="22">
        <f t="shared" si="5"/>
        <v>166.9</v>
      </c>
      <c r="AQ4" s="22">
        <f t="shared" si="6"/>
        <v>166.9</v>
      </c>
      <c r="AR4" s="22">
        <f t="shared" si="7"/>
        <v>166.9</v>
      </c>
      <c r="AS4" s="22">
        <f t="shared" si="8"/>
        <v>166.9</v>
      </c>
      <c r="AT4" s="22">
        <f t="shared" si="9"/>
        <v>166.9</v>
      </c>
      <c r="AU4" s="22">
        <f t="shared" si="10"/>
        <v>166.9</v>
      </c>
      <c r="AV4" s="22">
        <f>AL4</f>
        <v>0</v>
      </c>
      <c r="AW4" s="22">
        <f>AL4</f>
        <v>0</v>
      </c>
      <c r="AX4" s="22">
        <f>AL4</f>
        <v>0</v>
      </c>
      <c r="AY4" s="22">
        <f>AL4</f>
        <v>0</v>
      </c>
      <c r="AZ4" s="22">
        <f>AU4</f>
        <v>166.9</v>
      </c>
      <c r="BA4" s="22">
        <f t="shared" si="11"/>
        <v>166.9</v>
      </c>
      <c r="BB4" s="22">
        <f t="shared" si="12"/>
        <v>166.9</v>
      </c>
      <c r="BC4" s="22">
        <f t="shared" si="13"/>
        <v>166.9</v>
      </c>
      <c r="BD4" s="22">
        <f t="shared" si="14"/>
        <v>166.9</v>
      </c>
      <c r="BE4" s="22">
        <f t="shared" si="15"/>
        <v>166.9</v>
      </c>
      <c r="BF4" s="22">
        <f t="shared" si="16"/>
        <v>166.9</v>
      </c>
      <c r="BG4" s="22">
        <f t="shared" si="17"/>
        <v>166.9</v>
      </c>
      <c r="BH4" s="22">
        <f>AX4</f>
        <v>0</v>
      </c>
      <c r="BI4" s="22">
        <f>AX4</f>
        <v>0</v>
      </c>
      <c r="BJ4" s="22">
        <f>AX4</f>
        <v>0</v>
      </c>
      <c r="BK4" s="22">
        <f>AX4</f>
        <v>0</v>
      </c>
      <c r="BL4" s="22">
        <v>166.9</v>
      </c>
      <c r="BM4" s="22">
        <v>166.9</v>
      </c>
      <c r="BN4" s="22">
        <v>166.9</v>
      </c>
    </row>
    <row r="5" spans="1:66" ht="16.899999999999999" customHeight="1" x14ac:dyDescent="0.25">
      <c r="A5" s="21" t="s">
        <v>86</v>
      </c>
      <c r="B5" s="63">
        <v>44.7</v>
      </c>
      <c r="C5" s="63">
        <v>33.299999999999997</v>
      </c>
      <c r="D5" s="22">
        <f>C5</f>
        <v>33.299999999999997</v>
      </c>
      <c r="E5" s="22">
        <f>C5</f>
        <v>33.299999999999997</v>
      </c>
      <c r="F5" s="22">
        <f>C5</f>
        <v>33.299999999999997</v>
      </c>
      <c r="G5" s="22">
        <f>C5</f>
        <v>33.299999999999997</v>
      </c>
      <c r="H5" s="22">
        <f t="shared" si="0"/>
        <v>33.299999999999997</v>
      </c>
      <c r="I5" s="22">
        <f t="shared" si="0"/>
        <v>33.299999999999997</v>
      </c>
      <c r="J5" s="22">
        <f t="shared" si="0"/>
        <v>33.299999999999997</v>
      </c>
      <c r="K5" s="68">
        <f t="shared" si="0"/>
        <v>33.299999999999997</v>
      </c>
      <c r="L5" s="22">
        <f>B5</f>
        <v>44.7</v>
      </c>
      <c r="M5" s="22">
        <f>B5</f>
        <v>44.7</v>
      </c>
      <c r="N5" s="22">
        <f>B5</f>
        <v>44.7</v>
      </c>
      <c r="O5" s="22">
        <f>B5</f>
        <v>44.7</v>
      </c>
      <c r="P5" s="22">
        <f>K5</f>
        <v>33.299999999999997</v>
      </c>
      <c r="Q5" s="22">
        <f t="shared" si="1"/>
        <v>33.299999999999997</v>
      </c>
      <c r="R5" s="22">
        <f t="shared" si="1"/>
        <v>33.299999999999997</v>
      </c>
      <c r="S5" s="22">
        <f t="shared" si="2"/>
        <v>33.299999999999997</v>
      </c>
      <c r="T5" s="22">
        <f t="shared" si="2"/>
        <v>33.299999999999997</v>
      </c>
      <c r="U5" s="22">
        <f t="shared" si="2"/>
        <v>33.299999999999997</v>
      </c>
      <c r="V5" s="22">
        <f t="shared" si="2"/>
        <v>33.299999999999997</v>
      </c>
      <c r="W5" s="22">
        <f t="shared" si="2"/>
        <v>33.299999999999997</v>
      </c>
      <c r="X5" s="22">
        <f>N5</f>
        <v>44.7</v>
      </c>
      <c r="Y5" s="22">
        <f>N5</f>
        <v>44.7</v>
      </c>
      <c r="Z5" s="22">
        <f>N5</f>
        <v>44.7</v>
      </c>
      <c r="AA5" s="22">
        <f>N5</f>
        <v>44.7</v>
      </c>
      <c r="AB5" s="22">
        <f>W5</f>
        <v>33.299999999999997</v>
      </c>
      <c r="AC5" s="22">
        <f t="shared" si="3"/>
        <v>33.299999999999997</v>
      </c>
      <c r="AD5" s="22">
        <f t="shared" si="3"/>
        <v>33.299999999999997</v>
      </c>
      <c r="AE5" s="22">
        <f t="shared" si="4"/>
        <v>33.299999999999997</v>
      </c>
      <c r="AF5" s="22">
        <f t="shared" si="4"/>
        <v>33.299999999999997</v>
      </c>
      <c r="AG5" s="22">
        <f t="shared" si="4"/>
        <v>33.299999999999997</v>
      </c>
      <c r="AH5" s="22">
        <f t="shared" si="4"/>
        <v>33.299999999999997</v>
      </c>
      <c r="AI5" s="22">
        <f t="shared" si="4"/>
        <v>33.299999999999997</v>
      </c>
      <c r="AJ5" s="22">
        <f>Z5</f>
        <v>44.7</v>
      </c>
      <c r="AK5" s="22">
        <f>Z5</f>
        <v>44.7</v>
      </c>
      <c r="AL5" s="22">
        <f>Z5</f>
        <v>44.7</v>
      </c>
      <c r="AM5" s="22">
        <f>Z5</f>
        <v>44.7</v>
      </c>
      <c r="AN5" s="22">
        <f>AI5</f>
        <v>33.299999999999997</v>
      </c>
      <c r="AO5" s="22">
        <f t="shared" si="5"/>
        <v>33.299999999999997</v>
      </c>
      <c r="AP5" s="22">
        <f t="shared" si="5"/>
        <v>33.299999999999997</v>
      </c>
      <c r="AQ5" s="22">
        <f t="shared" si="6"/>
        <v>33.299999999999997</v>
      </c>
      <c r="AR5" s="22">
        <f t="shared" si="7"/>
        <v>33.299999999999997</v>
      </c>
      <c r="AS5" s="22">
        <f t="shared" si="8"/>
        <v>33.299999999999997</v>
      </c>
      <c r="AT5" s="22">
        <f t="shared" si="9"/>
        <v>33.299999999999997</v>
      </c>
      <c r="AU5" s="22">
        <f t="shared" si="10"/>
        <v>33.299999999999997</v>
      </c>
      <c r="AV5" s="22">
        <f>AL5</f>
        <v>44.7</v>
      </c>
      <c r="AW5" s="22">
        <f>AL5</f>
        <v>44.7</v>
      </c>
      <c r="AX5" s="22">
        <f>AL5</f>
        <v>44.7</v>
      </c>
      <c r="AY5" s="22">
        <f>AL5</f>
        <v>44.7</v>
      </c>
      <c r="AZ5" s="22">
        <f>AU5</f>
        <v>33.299999999999997</v>
      </c>
      <c r="BA5" s="22">
        <f t="shared" si="11"/>
        <v>33.299999999999997</v>
      </c>
      <c r="BB5" s="22">
        <f t="shared" si="12"/>
        <v>33.299999999999997</v>
      </c>
      <c r="BC5" s="22">
        <f t="shared" si="13"/>
        <v>33.299999999999997</v>
      </c>
      <c r="BD5" s="22">
        <f t="shared" si="14"/>
        <v>33.299999999999997</v>
      </c>
      <c r="BE5" s="22">
        <f t="shared" si="15"/>
        <v>33.299999999999997</v>
      </c>
      <c r="BF5" s="22">
        <f t="shared" si="16"/>
        <v>33.299999999999997</v>
      </c>
      <c r="BG5" s="22">
        <f t="shared" si="17"/>
        <v>33.299999999999997</v>
      </c>
      <c r="BH5" s="22">
        <f>AX5</f>
        <v>44.7</v>
      </c>
      <c r="BI5" s="22">
        <f>AX5</f>
        <v>44.7</v>
      </c>
      <c r="BJ5" s="22">
        <f>AX5</f>
        <v>44.7</v>
      </c>
      <c r="BK5" s="22">
        <f>AX5</f>
        <v>44.7</v>
      </c>
      <c r="BL5" s="22">
        <v>33.6</v>
      </c>
      <c r="BM5" s="22">
        <v>33.6</v>
      </c>
      <c r="BN5" s="22">
        <f t="shared" si="18"/>
        <v>33.6</v>
      </c>
    </row>
    <row r="6" spans="1:66" ht="16.899999999999999" customHeight="1" x14ac:dyDescent="0.25">
      <c r="A6" s="23" t="s">
        <v>58</v>
      </c>
      <c r="B6" s="64">
        <v>44.7</v>
      </c>
      <c r="C6" s="64">
        <v>33.299999999999997</v>
      </c>
      <c r="D6" s="24">
        <f>C6</f>
        <v>33.299999999999997</v>
      </c>
      <c r="E6" s="24">
        <f>C6</f>
        <v>33.299999999999997</v>
      </c>
      <c r="F6" s="24">
        <f>C6</f>
        <v>33.299999999999997</v>
      </c>
      <c r="G6" s="24">
        <f>C6</f>
        <v>33.299999999999997</v>
      </c>
      <c r="H6" s="24">
        <f t="shared" si="0"/>
        <v>33.299999999999997</v>
      </c>
      <c r="I6" s="24">
        <f t="shared" si="0"/>
        <v>33.299999999999997</v>
      </c>
      <c r="J6" s="24">
        <f t="shared" si="0"/>
        <v>33.299999999999997</v>
      </c>
      <c r="K6" s="69">
        <f t="shared" si="0"/>
        <v>33.299999999999997</v>
      </c>
      <c r="L6" s="24">
        <f>B6</f>
        <v>44.7</v>
      </c>
      <c r="M6" s="24">
        <f>B6</f>
        <v>44.7</v>
      </c>
      <c r="N6" s="24">
        <f>B6</f>
        <v>44.7</v>
      </c>
      <c r="O6" s="24">
        <f>B6</f>
        <v>44.7</v>
      </c>
      <c r="P6" s="24">
        <f>K6</f>
        <v>33.299999999999997</v>
      </c>
      <c r="Q6" s="24">
        <f t="shared" si="1"/>
        <v>33.299999999999997</v>
      </c>
      <c r="R6" s="24">
        <f t="shared" si="1"/>
        <v>33.299999999999997</v>
      </c>
      <c r="S6" s="24">
        <f t="shared" si="2"/>
        <v>33.299999999999997</v>
      </c>
      <c r="T6" s="24">
        <f t="shared" si="2"/>
        <v>33.299999999999997</v>
      </c>
      <c r="U6" s="24">
        <f t="shared" si="2"/>
        <v>33.299999999999997</v>
      </c>
      <c r="V6" s="24">
        <f t="shared" si="2"/>
        <v>33.299999999999997</v>
      </c>
      <c r="W6" s="24">
        <f t="shared" si="2"/>
        <v>33.299999999999997</v>
      </c>
      <c r="X6" s="24">
        <f>N6</f>
        <v>44.7</v>
      </c>
      <c r="Y6" s="24">
        <f>N6</f>
        <v>44.7</v>
      </c>
      <c r="Z6" s="24">
        <f>N6</f>
        <v>44.7</v>
      </c>
      <c r="AA6" s="24">
        <f>N6</f>
        <v>44.7</v>
      </c>
      <c r="AB6" s="24">
        <f>W6</f>
        <v>33.299999999999997</v>
      </c>
      <c r="AC6" s="24">
        <f t="shared" si="3"/>
        <v>33.299999999999997</v>
      </c>
      <c r="AD6" s="24">
        <f t="shared" si="3"/>
        <v>33.299999999999997</v>
      </c>
      <c r="AE6" s="24">
        <f t="shared" si="4"/>
        <v>33.299999999999997</v>
      </c>
      <c r="AF6" s="24">
        <f t="shared" si="4"/>
        <v>33.299999999999997</v>
      </c>
      <c r="AG6" s="24">
        <f t="shared" si="4"/>
        <v>33.299999999999997</v>
      </c>
      <c r="AH6" s="24">
        <f t="shared" si="4"/>
        <v>33.299999999999997</v>
      </c>
      <c r="AI6" s="24">
        <f t="shared" si="4"/>
        <v>33.299999999999997</v>
      </c>
      <c r="AJ6" s="24">
        <f>Z6</f>
        <v>44.7</v>
      </c>
      <c r="AK6" s="24">
        <f>Z6</f>
        <v>44.7</v>
      </c>
      <c r="AL6" s="24">
        <f>Z6</f>
        <v>44.7</v>
      </c>
      <c r="AM6" s="24">
        <f>Z6</f>
        <v>44.7</v>
      </c>
      <c r="AN6" s="24">
        <f>AI6</f>
        <v>33.299999999999997</v>
      </c>
      <c r="AO6" s="24">
        <f t="shared" si="5"/>
        <v>33.299999999999997</v>
      </c>
      <c r="AP6" s="24">
        <f t="shared" si="5"/>
        <v>33.299999999999997</v>
      </c>
      <c r="AQ6" s="24">
        <f t="shared" si="6"/>
        <v>33.299999999999997</v>
      </c>
      <c r="AR6" s="24">
        <f t="shared" si="7"/>
        <v>33.299999999999997</v>
      </c>
      <c r="AS6" s="24">
        <f t="shared" si="8"/>
        <v>33.299999999999997</v>
      </c>
      <c r="AT6" s="24">
        <f t="shared" si="9"/>
        <v>33.299999999999997</v>
      </c>
      <c r="AU6" s="24">
        <f t="shared" si="10"/>
        <v>33.299999999999997</v>
      </c>
      <c r="AV6" s="24">
        <f>AL6</f>
        <v>44.7</v>
      </c>
      <c r="AW6" s="24">
        <f>AL6</f>
        <v>44.7</v>
      </c>
      <c r="AX6" s="24">
        <f>AL6</f>
        <v>44.7</v>
      </c>
      <c r="AY6" s="24">
        <f>AL6</f>
        <v>44.7</v>
      </c>
      <c r="AZ6" s="24">
        <f>AU6</f>
        <v>33.299999999999997</v>
      </c>
      <c r="BA6" s="24">
        <f t="shared" si="11"/>
        <v>33.299999999999997</v>
      </c>
      <c r="BB6" s="24">
        <f t="shared" si="12"/>
        <v>33.299999999999997</v>
      </c>
      <c r="BC6" s="24">
        <f t="shared" si="13"/>
        <v>33.299999999999997</v>
      </c>
      <c r="BD6" s="24">
        <f t="shared" si="14"/>
        <v>33.299999999999997</v>
      </c>
      <c r="BE6" s="24">
        <f t="shared" si="15"/>
        <v>33.299999999999997</v>
      </c>
      <c r="BF6" s="24">
        <f t="shared" si="16"/>
        <v>33.299999999999997</v>
      </c>
      <c r="BG6" s="24">
        <f t="shared" si="17"/>
        <v>33.299999999999997</v>
      </c>
      <c r="BH6" s="24">
        <f>AX6</f>
        <v>44.7</v>
      </c>
      <c r="BI6" s="24">
        <f>AX6</f>
        <v>44.7</v>
      </c>
      <c r="BJ6" s="24">
        <f>AX6</f>
        <v>44.7</v>
      </c>
      <c r="BK6" s="24">
        <f>AX6</f>
        <v>44.7</v>
      </c>
      <c r="BL6" s="24">
        <v>33.6</v>
      </c>
      <c r="BM6" s="24">
        <v>33.6</v>
      </c>
      <c r="BN6" s="24">
        <f t="shared" si="18"/>
        <v>33.6</v>
      </c>
    </row>
    <row r="7" spans="1:66" ht="19.149999999999999" customHeight="1" x14ac:dyDescent="0.25">
      <c r="A7" s="347" t="s">
        <v>62</v>
      </c>
      <c r="B7" s="348"/>
      <c r="C7" s="349"/>
      <c r="D7" s="25"/>
      <c r="E7" s="25"/>
      <c r="F7" s="25"/>
      <c r="G7" s="25">
        <v>500</v>
      </c>
      <c r="H7" s="25">
        <v>380</v>
      </c>
      <c r="I7" s="25">
        <v>380</v>
      </c>
      <c r="J7" s="25">
        <v>380</v>
      </c>
      <c r="K7" s="31">
        <v>380</v>
      </c>
      <c r="L7" s="25">
        <v>480</v>
      </c>
      <c r="M7" s="25">
        <v>480</v>
      </c>
      <c r="N7" s="25">
        <v>480</v>
      </c>
      <c r="O7" s="25">
        <v>420</v>
      </c>
      <c r="P7" s="25">
        <v>420</v>
      </c>
      <c r="Q7" s="25">
        <v>420</v>
      </c>
      <c r="R7" s="25">
        <v>420</v>
      </c>
      <c r="S7" s="25">
        <v>420</v>
      </c>
      <c r="T7" s="25">
        <v>420</v>
      </c>
      <c r="U7" s="25">
        <v>420</v>
      </c>
      <c r="V7" s="25">
        <v>420</v>
      </c>
      <c r="W7" s="31">
        <v>420</v>
      </c>
      <c r="X7" s="25">
        <v>420</v>
      </c>
      <c r="Y7" s="25">
        <v>420</v>
      </c>
      <c r="Z7" s="25">
        <v>420</v>
      </c>
      <c r="AA7" s="25">
        <v>420</v>
      </c>
      <c r="AB7" s="25">
        <v>420</v>
      </c>
      <c r="AC7" s="25">
        <v>420</v>
      </c>
      <c r="AD7" s="25">
        <v>420</v>
      </c>
      <c r="AE7" s="25">
        <v>420</v>
      </c>
      <c r="AF7" s="25">
        <v>420</v>
      </c>
      <c r="AG7" s="25">
        <v>420</v>
      </c>
      <c r="AH7" s="25">
        <v>420</v>
      </c>
      <c r="AI7" s="31">
        <v>420</v>
      </c>
      <c r="AJ7" s="25">
        <v>420</v>
      </c>
      <c r="AK7" s="25">
        <v>420</v>
      </c>
      <c r="AL7" s="25">
        <v>420</v>
      </c>
      <c r="AM7" s="25">
        <v>420</v>
      </c>
      <c r="AN7" s="25">
        <v>420</v>
      </c>
      <c r="AO7" s="25">
        <v>420</v>
      </c>
      <c r="AP7" s="25">
        <v>420</v>
      </c>
      <c r="AQ7" s="25">
        <v>420</v>
      </c>
      <c r="AR7" s="25">
        <v>420</v>
      </c>
      <c r="AS7" s="25">
        <v>420</v>
      </c>
      <c r="AT7" s="25">
        <v>420</v>
      </c>
      <c r="AU7" s="31">
        <v>420</v>
      </c>
      <c r="AV7" s="25">
        <v>420</v>
      </c>
      <c r="AW7" s="25">
        <v>420</v>
      </c>
      <c r="AX7" s="25">
        <v>420</v>
      </c>
      <c r="AY7" s="25">
        <v>420</v>
      </c>
      <c r="AZ7" s="25">
        <v>420</v>
      </c>
      <c r="BA7" s="25">
        <v>320</v>
      </c>
      <c r="BB7" s="25">
        <v>320</v>
      </c>
      <c r="BC7" s="25">
        <v>420</v>
      </c>
      <c r="BD7" s="25">
        <v>420</v>
      </c>
      <c r="BE7" s="25">
        <v>520</v>
      </c>
      <c r="BF7" s="25">
        <v>520</v>
      </c>
      <c r="BG7" s="31">
        <v>520</v>
      </c>
      <c r="BH7" s="25">
        <v>570</v>
      </c>
      <c r="BI7" s="25">
        <v>570</v>
      </c>
      <c r="BJ7" s="25">
        <v>570</v>
      </c>
      <c r="BK7" s="25">
        <v>570</v>
      </c>
      <c r="BL7" s="25">
        <v>570</v>
      </c>
      <c r="BM7" s="25">
        <v>570</v>
      </c>
      <c r="BN7" s="25"/>
    </row>
    <row r="8" spans="1:66" ht="19.149999999999999" customHeight="1" x14ac:dyDescent="0.25">
      <c r="A8" s="330" t="s">
        <v>61</v>
      </c>
      <c r="B8" s="331"/>
      <c r="C8" s="332"/>
      <c r="D8" s="25"/>
      <c r="E8" s="25"/>
      <c r="F8" s="25"/>
      <c r="G8" s="25">
        <v>345</v>
      </c>
      <c r="H8" s="25">
        <v>239</v>
      </c>
      <c r="I8" s="25">
        <v>260</v>
      </c>
      <c r="J8" s="25">
        <v>266</v>
      </c>
      <c r="K8" s="31">
        <v>382</v>
      </c>
      <c r="L8" s="25">
        <v>413</v>
      </c>
      <c r="M8" s="25">
        <v>425</v>
      </c>
      <c r="N8" s="25">
        <v>403</v>
      </c>
      <c r="O8" s="25">
        <v>420</v>
      </c>
      <c r="P8" s="25">
        <v>411</v>
      </c>
      <c r="Q8" s="25">
        <v>409</v>
      </c>
      <c r="R8" s="25">
        <v>391</v>
      </c>
      <c r="S8" s="25">
        <v>403</v>
      </c>
      <c r="T8" s="25">
        <v>388</v>
      </c>
      <c r="U8" s="25">
        <v>377</v>
      </c>
      <c r="V8" s="25">
        <v>404</v>
      </c>
      <c r="W8" s="31">
        <v>403</v>
      </c>
      <c r="X8" s="25">
        <v>404</v>
      </c>
      <c r="Y8" s="25">
        <v>394</v>
      </c>
      <c r="Z8" s="25">
        <v>389</v>
      </c>
      <c r="AA8" s="25">
        <v>416</v>
      </c>
      <c r="AB8" s="25">
        <v>415</v>
      </c>
      <c r="AC8" s="25">
        <v>389</v>
      </c>
      <c r="AD8" s="25">
        <v>388</v>
      </c>
      <c r="AE8" s="25">
        <v>398</v>
      </c>
      <c r="AF8" s="25">
        <v>386</v>
      </c>
      <c r="AG8" s="25">
        <v>411</v>
      </c>
      <c r="AH8" s="25">
        <v>419</v>
      </c>
      <c r="AI8" s="26">
        <v>429</v>
      </c>
      <c r="AJ8" s="232">
        <v>436</v>
      </c>
      <c r="AK8" s="232">
        <v>422</v>
      </c>
      <c r="AL8" s="232">
        <v>415</v>
      </c>
      <c r="AM8" s="25">
        <v>420</v>
      </c>
      <c r="AN8" s="25">
        <v>420</v>
      </c>
      <c r="AO8" s="25">
        <v>404</v>
      </c>
      <c r="AP8" s="25">
        <v>414</v>
      </c>
      <c r="AQ8" s="25">
        <v>413</v>
      </c>
      <c r="AR8" s="25">
        <v>437</v>
      </c>
      <c r="AS8" s="25">
        <v>383</v>
      </c>
      <c r="AT8" s="25">
        <v>316</v>
      </c>
      <c r="AU8" s="31">
        <v>339</v>
      </c>
      <c r="AV8" s="25">
        <v>347</v>
      </c>
      <c r="AW8" s="25">
        <v>355</v>
      </c>
      <c r="AX8" s="25">
        <v>355</v>
      </c>
      <c r="AY8" s="25">
        <v>269</v>
      </c>
      <c r="AZ8" s="25">
        <v>271</v>
      </c>
      <c r="BA8" s="25">
        <v>263</v>
      </c>
      <c r="BB8" s="25">
        <v>264</v>
      </c>
      <c r="BC8" s="25">
        <v>268</v>
      </c>
      <c r="BD8" s="25">
        <v>395</v>
      </c>
      <c r="BE8" s="25">
        <v>476</v>
      </c>
      <c r="BF8" s="25">
        <v>524</v>
      </c>
      <c r="BG8" s="31">
        <v>516</v>
      </c>
      <c r="BH8" s="25">
        <v>530</v>
      </c>
      <c r="BI8" s="25">
        <v>549</v>
      </c>
      <c r="BJ8" s="25">
        <v>546</v>
      </c>
      <c r="BK8" s="25">
        <v>522</v>
      </c>
      <c r="BL8" s="25">
        <v>518</v>
      </c>
      <c r="BM8" s="25">
        <v>512</v>
      </c>
      <c r="BN8" s="25"/>
    </row>
    <row r="9" spans="1:66" ht="19.149999999999999" customHeight="1" x14ac:dyDescent="0.25">
      <c r="A9" s="330" t="s">
        <v>59</v>
      </c>
      <c r="B9" s="331"/>
      <c r="C9" s="332"/>
      <c r="D9" s="25"/>
      <c r="E9" s="25"/>
      <c r="F9" s="25"/>
      <c r="G9" s="25">
        <v>113</v>
      </c>
      <c r="H9" s="25">
        <v>228</v>
      </c>
      <c r="I9" s="25">
        <v>229</v>
      </c>
      <c r="J9" s="25">
        <v>254</v>
      </c>
      <c r="K9" s="31">
        <v>339</v>
      </c>
      <c r="L9" s="25">
        <v>401</v>
      </c>
      <c r="M9" s="25">
        <v>199</v>
      </c>
      <c r="N9" s="25">
        <v>199</v>
      </c>
      <c r="O9" s="25">
        <v>392</v>
      </c>
      <c r="P9" s="25">
        <v>324</v>
      </c>
      <c r="Q9" s="25">
        <v>219</v>
      </c>
      <c r="R9" s="25">
        <v>327</v>
      </c>
      <c r="S9" s="25">
        <v>284</v>
      </c>
      <c r="T9" s="25">
        <v>369</v>
      </c>
      <c r="U9" s="25">
        <v>354</v>
      </c>
      <c r="V9" s="25">
        <v>189</v>
      </c>
      <c r="W9" s="31">
        <v>408</v>
      </c>
      <c r="X9" s="25">
        <v>298</v>
      </c>
      <c r="Y9" s="25">
        <v>186</v>
      </c>
      <c r="Z9" s="25">
        <v>193</v>
      </c>
      <c r="AA9" s="25">
        <v>212</v>
      </c>
      <c r="AB9" s="25">
        <v>367</v>
      </c>
      <c r="AC9" s="25">
        <v>389</v>
      </c>
      <c r="AD9" s="25">
        <v>379</v>
      </c>
      <c r="AE9" s="25">
        <v>216</v>
      </c>
      <c r="AF9" s="25">
        <v>367</v>
      </c>
      <c r="AG9" s="25">
        <v>344</v>
      </c>
      <c r="AH9" s="25">
        <v>192</v>
      </c>
      <c r="AI9" s="31">
        <v>186</v>
      </c>
      <c r="AJ9" s="25">
        <v>167</v>
      </c>
      <c r="AK9" s="25">
        <v>198</v>
      </c>
      <c r="AL9" s="25">
        <v>204</v>
      </c>
      <c r="AM9" s="25">
        <v>194</v>
      </c>
      <c r="AN9" s="25">
        <v>237</v>
      </c>
      <c r="AO9" s="25">
        <v>242</v>
      </c>
      <c r="AP9" s="25">
        <v>227</v>
      </c>
      <c r="AQ9" s="25">
        <v>232</v>
      </c>
      <c r="AR9" s="25">
        <v>409</v>
      </c>
      <c r="AS9" s="25">
        <v>148</v>
      </c>
      <c r="AT9" s="25">
        <v>41</v>
      </c>
      <c r="AU9" s="31">
        <v>231</v>
      </c>
      <c r="AV9" s="25">
        <v>145</v>
      </c>
      <c r="AW9" s="25">
        <v>148</v>
      </c>
      <c r="AX9" s="25">
        <v>328</v>
      </c>
      <c r="AY9" s="25">
        <v>75</v>
      </c>
      <c r="AZ9" s="25">
        <v>84</v>
      </c>
      <c r="BA9" s="25">
        <v>78</v>
      </c>
      <c r="BB9" s="25">
        <v>182</v>
      </c>
      <c r="BC9" s="25">
        <v>86</v>
      </c>
      <c r="BD9" s="25">
        <v>241</v>
      </c>
      <c r="BE9" s="25">
        <v>220</v>
      </c>
      <c r="BF9" s="25">
        <v>213</v>
      </c>
      <c r="BG9" s="31">
        <v>286</v>
      </c>
      <c r="BH9" s="25">
        <v>282</v>
      </c>
      <c r="BI9" s="25">
        <v>304</v>
      </c>
      <c r="BJ9" s="25">
        <v>87</v>
      </c>
      <c r="BK9" s="25">
        <v>478</v>
      </c>
      <c r="BL9" s="25">
        <v>97</v>
      </c>
      <c r="BM9" s="25">
        <v>152</v>
      </c>
      <c r="BN9" s="25"/>
    </row>
    <row r="10" spans="1:66" ht="19.149999999999999" customHeight="1" x14ac:dyDescent="0.25">
      <c r="A10" s="330" t="s">
        <v>6</v>
      </c>
      <c r="B10" s="331"/>
      <c r="C10" s="332"/>
      <c r="D10" s="25"/>
      <c r="E10" s="25"/>
      <c r="F10" s="25"/>
      <c r="G10" s="25">
        <v>105</v>
      </c>
      <c r="H10" s="25">
        <v>77</v>
      </c>
      <c r="I10" s="25">
        <v>77</v>
      </c>
      <c r="J10" s="25">
        <v>101</v>
      </c>
      <c r="K10" s="31">
        <v>170</v>
      </c>
      <c r="L10" s="25">
        <v>183</v>
      </c>
      <c r="M10" s="25">
        <v>173</v>
      </c>
      <c r="N10" s="25">
        <v>190</v>
      </c>
      <c r="O10" s="25">
        <v>193</v>
      </c>
      <c r="P10" s="25">
        <v>212</v>
      </c>
      <c r="Q10" s="25">
        <v>218</v>
      </c>
      <c r="R10" s="25">
        <v>212</v>
      </c>
      <c r="S10" s="25">
        <v>219</v>
      </c>
      <c r="T10" s="25">
        <v>320</v>
      </c>
      <c r="U10" s="25">
        <v>187</v>
      </c>
      <c r="V10" s="25">
        <v>199</v>
      </c>
      <c r="W10" s="31">
        <v>200</v>
      </c>
      <c r="X10" s="25">
        <v>190</v>
      </c>
      <c r="Y10" s="25">
        <v>185</v>
      </c>
      <c r="Z10" s="25">
        <v>187</v>
      </c>
      <c r="AA10" s="25">
        <v>207</v>
      </c>
      <c r="AB10" s="25">
        <v>228</v>
      </c>
      <c r="AC10" s="25">
        <v>193</v>
      </c>
      <c r="AD10" s="25">
        <v>227</v>
      </c>
      <c r="AE10" s="25">
        <v>225</v>
      </c>
      <c r="AF10" s="25">
        <v>215</v>
      </c>
      <c r="AG10" s="25">
        <v>210</v>
      </c>
      <c r="AH10" s="25">
        <v>205</v>
      </c>
      <c r="AI10" s="31">
        <v>208</v>
      </c>
      <c r="AJ10" s="25">
        <v>202</v>
      </c>
      <c r="AK10" s="25">
        <v>197</v>
      </c>
      <c r="AL10" s="25">
        <v>195</v>
      </c>
      <c r="AM10" s="25">
        <v>200</v>
      </c>
      <c r="AN10" s="25">
        <v>231</v>
      </c>
      <c r="AO10" s="25">
        <v>235</v>
      </c>
      <c r="AP10" s="25">
        <v>246</v>
      </c>
      <c r="AQ10" s="25">
        <v>242</v>
      </c>
      <c r="AR10" s="25"/>
      <c r="AS10" s="25">
        <v>151</v>
      </c>
      <c r="AT10" s="25">
        <v>156</v>
      </c>
      <c r="AU10" s="31">
        <v>157</v>
      </c>
      <c r="AV10" s="25">
        <v>145</v>
      </c>
      <c r="AW10" s="25">
        <v>152</v>
      </c>
      <c r="AX10" s="25">
        <v>155</v>
      </c>
      <c r="AY10" s="25">
        <v>138</v>
      </c>
      <c r="AZ10" s="25">
        <v>136</v>
      </c>
      <c r="BA10" s="25">
        <v>119</v>
      </c>
      <c r="BB10" s="25">
        <v>128</v>
      </c>
      <c r="BC10" s="25">
        <v>132</v>
      </c>
      <c r="BD10" s="25">
        <v>194</v>
      </c>
      <c r="BE10" s="25">
        <v>198</v>
      </c>
      <c r="BF10" s="25">
        <v>70</v>
      </c>
      <c r="BG10" s="31">
        <v>222</v>
      </c>
      <c r="BH10" s="25">
        <v>221</v>
      </c>
      <c r="BI10" s="25">
        <v>242</v>
      </c>
      <c r="BJ10" s="25">
        <v>223</v>
      </c>
      <c r="BK10" s="25">
        <v>231</v>
      </c>
      <c r="BL10" s="25">
        <v>220</v>
      </c>
      <c r="BM10" s="25">
        <v>205</v>
      </c>
      <c r="BN10" s="25"/>
    </row>
    <row r="11" spans="1:66" ht="19.149999999999999" customHeight="1" x14ac:dyDescent="0.25">
      <c r="A11" s="330" t="s">
        <v>7</v>
      </c>
      <c r="B11" s="331"/>
      <c r="C11" s="332"/>
      <c r="D11" s="25"/>
      <c r="E11" s="25"/>
      <c r="F11" s="25"/>
      <c r="G11" s="25"/>
      <c r="H11" s="25"/>
      <c r="I11" s="25"/>
      <c r="J11" s="25"/>
      <c r="K11" s="31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31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31"/>
      <c r="AJ11" s="25"/>
      <c r="AK11" s="25"/>
      <c r="AL11" s="25"/>
      <c r="AM11" s="25"/>
      <c r="AN11" s="25"/>
      <c r="AO11" s="25"/>
      <c r="AP11" s="25"/>
      <c r="AQ11" s="25">
        <v>0</v>
      </c>
      <c r="AR11" s="25"/>
      <c r="AS11" s="25"/>
      <c r="AT11" s="25"/>
      <c r="AU11" s="31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31"/>
      <c r="BH11" s="25"/>
      <c r="BI11" s="25"/>
      <c r="BJ11" s="25"/>
      <c r="BK11" s="25"/>
      <c r="BL11" s="25"/>
      <c r="BM11" s="25"/>
      <c r="BN11" s="25"/>
    </row>
    <row r="12" spans="1:66" ht="19.149999999999999" customHeight="1" x14ac:dyDescent="0.25">
      <c r="A12" s="344" t="s">
        <v>82</v>
      </c>
      <c r="B12" s="345"/>
      <c r="C12" s="346"/>
      <c r="D12" s="26">
        <v>0</v>
      </c>
      <c r="E12" s="26">
        <v>0</v>
      </c>
      <c r="F12" s="26">
        <v>0</v>
      </c>
      <c r="G12" s="26">
        <v>0</v>
      </c>
      <c r="H12" s="26">
        <v>4673</v>
      </c>
      <c r="I12" s="26">
        <v>0</v>
      </c>
      <c r="J12" s="26"/>
      <c r="K12" s="26"/>
      <c r="L12" s="26"/>
      <c r="M12" s="26"/>
      <c r="N12" s="26"/>
      <c r="O12" s="108">
        <v>12968.8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8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108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108"/>
      <c r="AZ12" s="26"/>
      <c r="BA12" s="26"/>
      <c r="BB12" s="26"/>
      <c r="BC12" s="26"/>
      <c r="BD12" s="26"/>
      <c r="BE12" s="26">
        <v>3326</v>
      </c>
      <c r="BF12" s="26"/>
      <c r="BG12" s="26"/>
      <c r="BH12" s="26">
        <f>121117-127452</f>
        <v>-6335</v>
      </c>
      <c r="BI12" s="26">
        <v>-3527</v>
      </c>
      <c r="BJ12" s="26">
        <v>-3321</v>
      </c>
      <c r="BK12" s="108">
        <v>-3008</v>
      </c>
      <c r="BL12" s="26">
        <v>-3180</v>
      </c>
      <c r="BM12" s="26">
        <v>-3853</v>
      </c>
      <c r="BN12" s="26"/>
    </row>
    <row r="13" spans="1:66" ht="19.149999999999999" customHeight="1" thickBot="1" x14ac:dyDescent="0.3">
      <c r="A13" s="327" t="s">
        <v>1</v>
      </c>
      <c r="B13" s="328"/>
      <c r="C13" s="329"/>
      <c r="D13" s="27">
        <f>D7*D3+D12</f>
        <v>0</v>
      </c>
      <c r="E13" s="27">
        <f>E7*E3+E12</f>
        <v>0</v>
      </c>
      <c r="F13" s="27">
        <f>F7*F3+F12</f>
        <v>0</v>
      </c>
      <c r="G13" s="27">
        <f>G7*G3+G12</f>
        <v>83450</v>
      </c>
      <c r="H13" s="27">
        <f t="shared" ref="H13:R13" si="19">H7*H3+H12</f>
        <v>68095</v>
      </c>
      <c r="I13" s="27">
        <f t="shared" si="19"/>
        <v>63422</v>
      </c>
      <c r="J13" s="27">
        <f t="shared" si="19"/>
        <v>63422</v>
      </c>
      <c r="K13" s="70">
        <f t="shared" si="19"/>
        <v>63422</v>
      </c>
      <c r="L13" s="27">
        <f t="shared" si="19"/>
        <v>107328</v>
      </c>
      <c r="M13" s="27">
        <f t="shared" si="19"/>
        <v>107328</v>
      </c>
      <c r="N13" s="27">
        <f>N7*N3+N12</f>
        <v>107328</v>
      </c>
      <c r="O13" s="109">
        <f t="shared" si="19"/>
        <v>106880.8</v>
      </c>
      <c r="P13" s="27">
        <f t="shared" si="19"/>
        <v>70098</v>
      </c>
      <c r="Q13" s="27">
        <f t="shared" si="19"/>
        <v>70098</v>
      </c>
      <c r="R13" s="27">
        <f t="shared" si="19"/>
        <v>70098</v>
      </c>
      <c r="S13" s="27">
        <f>S7*S3+S12</f>
        <v>70098</v>
      </c>
      <c r="T13" s="27">
        <f t="shared" ref="T13:Y13" si="20">T7*T3+T12</f>
        <v>70098</v>
      </c>
      <c r="U13" s="27">
        <f t="shared" si="20"/>
        <v>70098</v>
      </c>
      <c r="V13" s="27">
        <f t="shared" si="20"/>
        <v>70098</v>
      </c>
      <c r="W13" s="70">
        <f t="shared" si="20"/>
        <v>70098</v>
      </c>
      <c r="X13" s="27">
        <f t="shared" si="20"/>
        <v>93912</v>
      </c>
      <c r="Y13" s="27">
        <f t="shared" si="20"/>
        <v>93912</v>
      </c>
      <c r="Z13" s="27">
        <f>Z7*Z3+Z12</f>
        <v>93912</v>
      </c>
      <c r="AA13" s="27">
        <f>AA7*AA3+AA12</f>
        <v>93912</v>
      </c>
      <c r="AB13" s="27">
        <f>AB7*AB3+AB12</f>
        <v>70098</v>
      </c>
      <c r="AC13" s="27">
        <v>70098</v>
      </c>
      <c r="AD13" s="27">
        <v>70098</v>
      </c>
      <c r="AE13" s="27">
        <f>AE7*AE3+AE12</f>
        <v>70098</v>
      </c>
      <c r="AF13" s="27">
        <f t="shared" ref="AF13:AK13" si="21">AF7*AF3+AF12</f>
        <v>70098</v>
      </c>
      <c r="AG13" s="27">
        <f t="shared" si="21"/>
        <v>70098</v>
      </c>
      <c r="AH13" s="27">
        <f t="shared" si="21"/>
        <v>70098</v>
      </c>
      <c r="AI13" s="70">
        <f t="shared" si="21"/>
        <v>70098</v>
      </c>
      <c r="AJ13" s="27">
        <f t="shared" si="21"/>
        <v>93912</v>
      </c>
      <c r="AK13" s="27">
        <f t="shared" si="21"/>
        <v>93912</v>
      </c>
      <c r="AL13" s="27">
        <f>AL7*AL3+AL12</f>
        <v>93912</v>
      </c>
      <c r="AM13" s="27">
        <f>AM7*AM3+AM12</f>
        <v>93912</v>
      </c>
      <c r="AN13" s="27">
        <f>AN7*AN3+AN12</f>
        <v>70098</v>
      </c>
      <c r="AO13" s="27">
        <v>70098</v>
      </c>
      <c r="AP13" s="27">
        <v>70098</v>
      </c>
      <c r="AQ13" s="27">
        <f>AQ7*AQ3+AQ12</f>
        <v>70098</v>
      </c>
      <c r="AR13" s="27">
        <f t="shared" ref="AR13:AW13" si="22">AR7*AR3+AR12</f>
        <v>70098</v>
      </c>
      <c r="AS13" s="27">
        <f>AS7*AS3+AS12</f>
        <v>70098</v>
      </c>
      <c r="AT13" s="27">
        <f t="shared" si="22"/>
        <v>70098</v>
      </c>
      <c r="AU13" s="70">
        <f t="shared" si="22"/>
        <v>70098</v>
      </c>
      <c r="AV13" s="27">
        <f t="shared" si="22"/>
        <v>93912</v>
      </c>
      <c r="AW13" s="27">
        <f t="shared" si="22"/>
        <v>93912</v>
      </c>
      <c r="AX13" s="27">
        <f>AX7*AX3+AX12</f>
        <v>93912</v>
      </c>
      <c r="AY13" s="27">
        <f t="shared" ref="AY13" si="23">AY7*AY3+AY12</f>
        <v>93912</v>
      </c>
      <c r="AZ13" s="27">
        <f t="shared" ref="AZ13" si="24">AZ7*AZ3+AZ12</f>
        <v>70098</v>
      </c>
      <c r="BA13" s="273">
        <v>57859</v>
      </c>
      <c r="BB13" s="27">
        <f t="shared" ref="BB13" si="25">BB7*BB3+BB12</f>
        <v>53408</v>
      </c>
      <c r="BC13" s="27">
        <v>63422</v>
      </c>
      <c r="BD13" s="27">
        <f t="shared" ref="BD13" si="26">BD7*BD3+BD12</f>
        <v>70098</v>
      </c>
      <c r="BE13" s="27">
        <f>BE7*BE3+BE12</f>
        <v>90114</v>
      </c>
      <c r="BF13" s="27">
        <f t="shared" ref="BF13:BH13" si="27">BF7*BF3+BF12</f>
        <v>86788</v>
      </c>
      <c r="BG13" s="70">
        <f t="shared" si="27"/>
        <v>86788</v>
      </c>
      <c r="BH13" s="27">
        <f t="shared" si="27"/>
        <v>121117</v>
      </c>
      <c r="BI13" s="27">
        <f>BI7*BI3+BI12</f>
        <v>123925</v>
      </c>
      <c r="BJ13" s="27">
        <f>BJ7*BJ3+BJ12</f>
        <v>124131</v>
      </c>
      <c r="BK13" s="27">
        <f t="shared" ref="BK13:BN13" si="28">BK7*BK3+BK12</f>
        <v>124444</v>
      </c>
      <c r="BL13" s="27">
        <f t="shared" si="28"/>
        <v>91953</v>
      </c>
      <c r="BM13" s="27">
        <f>BM7*BM3+BM12</f>
        <v>91280</v>
      </c>
      <c r="BN13" s="27">
        <f t="shared" si="28"/>
        <v>0</v>
      </c>
    </row>
    <row r="14" spans="1:66" ht="24.6" customHeight="1" thickTop="1" x14ac:dyDescent="0.25">
      <c r="A14" s="28" t="s">
        <v>57</v>
      </c>
      <c r="B14" s="17" t="s">
        <v>83</v>
      </c>
      <c r="C14" s="17" t="s">
        <v>84</v>
      </c>
      <c r="D14" s="29"/>
      <c r="E14" s="29"/>
      <c r="F14" s="29"/>
      <c r="G14" s="29"/>
      <c r="H14" s="29"/>
      <c r="I14" s="29"/>
      <c r="J14" s="29"/>
      <c r="K14" s="68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8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68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68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68"/>
      <c r="BH14" s="29"/>
      <c r="BI14" s="29"/>
      <c r="BJ14" s="29"/>
      <c r="BK14" s="29"/>
      <c r="BL14" s="29"/>
      <c r="BM14" s="29"/>
      <c r="BN14" s="29"/>
    </row>
    <row r="15" spans="1:66" ht="16.899999999999999" customHeight="1" x14ac:dyDescent="0.25">
      <c r="A15" s="21" t="s">
        <v>65</v>
      </c>
      <c r="B15" s="65"/>
      <c r="C15" s="65"/>
      <c r="D15" s="30">
        <v>3.03</v>
      </c>
      <c r="E15" s="30">
        <v>3.03</v>
      </c>
      <c r="F15" s="30">
        <v>3.03</v>
      </c>
      <c r="G15" s="30">
        <v>3.03</v>
      </c>
      <c r="H15" s="30">
        <v>3.03</v>
      </c>
      <c r="I15" s="30">
        <v>3.03</v>
      </c>
      <c r="J15" s="30">
        <v>3.03</v>
      </c>
      <c r="K15" s="30">
        <v>3.03</v>
      </c>
      <c r="L15" s="30">
        <v>3.13</v>
      </c>
      <c r="M15" s="30">
        <v>3.13</v>
      </c>
      <c r="N15" s="30">
        <v>3.13</v>
      </c>
      <c r="O15" s="30">
        <v>3.13</v>
      </c>
      <c r="P15" s="30">
        <v>3.03</v>
      </c>
      <c r="Q15" s="30">
        <v>3.03</v>
      </c>
      <c r="R15" s="30">
        <v>3.03</v>
      </c>
      <c r="S15" s="30">
        <v>3.03</v>
      </c>
      <c r="T15" s="30">
        <v>3.03</v>
      </c>
      <c r="U15" s="30">
        <v>3.03</v>
      </c>
      <c r="V15" s="163">
        <v>3.17</v>
      </c>
      <c r="W15" s="163">
        <v>3.17</v>
      </c>
      <c r="X15" s="163">
        <v>3.29</v>
      </c>
      <c r="Y15" s="163">
        <v>3.29</v>
      </c>
      <c r="Z15" s="163">
        <v>3.29</v>
      </c>
      <c r="AA15" s="163">
        <v>3.29</v>
      </c>
      <c r="AB15" s="163">
        <v>3.17</v>
      </c>
      <c r="AC15" s="163">
        <v>3.17</v>
      </c>
      <c r="AD15" s="164">
        <v>3.17</v>
      </c>
      <c r="AE15" s="164">
        <v>3.17</v>
      </c>
      <c r="AF15" s="164">
        <v>3.17</v>
      </c>
      <c r="AG15" s="164">
        <v>3.17</v>
      </c>
      <c r="AH15" s="164">
        <v>3.17</v>
      </c>
      <c r="AI15" s="164">
        <v>3.17</v>
      </c>
      <c r="AJ15" s="163">
        <v>3.29</v>
      </c>
      <c r="AK15" s="163">
        <v>3.29</v>
      </c>
      <c r="AL15" s="163">
        <v>3.29</v>
      </c>
      <c r="AM15" s="163">
        <v>3.29</v>
      </c>
      <c r="AN15" s="164">
        <v>3.17</v>
      </c>
      <c r="AO15" s="164">
        <v>3.17</v>
      </c>
      <c r="AP15" s="164">
        <v>3.17</v>
      </c>
      <c r="AQ15" s="164">
        <v>3.17</v>
      </c>
      <c r="AR15" s="164">
        <v>3.17</v>
      </c>
      <c r="AS15" s="164">
        <v>3.17</v>
      </c>
      <c r="AT15" s="164">
        <v>3.17</v>
      </c>
      <c r="AU15" s="164">
        <v>3.17</v>
      </c>
      <c r="AV15" s="163">
        <v>3.29</v>
      </c>
      <c r="AW15" s="163">
        <v>3.29</v>
      </c>
      <c r="AX15" s="163">
        <v>3.29</v>
      </c>
      <c r="AY15" s="163">
        <v>3.29</v>
      </c>
      <c r="AZ15" s="164">
        <v>3.17</v>
      </c>
      <c r="BA15" s="164">
        <v>3.17</v>
      </c>
      <c r="BB15" s="164">
        <v>3.17</v>
      </c>
      <c r="BC15" s="164">
        <v>3.17</v>
      </c>
      <c r="BD15" s="164">
        <v>3.17</v>
      </c>
      <c r="BE15" s="164">
        <v>3.17</v>
      </c>
      <c r="BF15" s="164">
        <v>3.17</v>
      </c>
      <c r="BG15" s="164">
        <v>3.17</v>
      </c>
      <c r="BH15" s="163">
        <v>3.29</v>
      </c>
      <c r="BI15" s="163">
        <v>3.29</v>
      </c>
      <c r="BJ15" s="163">
        <v>3.29</v>
      </c>
      <c r="BK15" s="163">
        <v>3.29</v>
      </c>
      <c r="BL15" s="164">
        <v>3.17</v>
      </c>
      <c r="BM15" s="164">
        <v>3.17</v>
      </c>
      <c r="BN15" s="164">
        <v>3.17</v>
      </c>
    </row>
    <row r="16" spans="1:66" ht="16.899999999999999" customHeight="1" x14ac:dyDescent="0.25">
      <c r="A16" s="21" t="s">
        <v>66</v>
      </c>
      <c r="B16" s="65"/>
      <c r="C16" s="65"/>
      <c r="D16" s="30">
        <v>1.87</v>
      </c>
      <c r="E16" s="30">
        <v>1.87</v>
      </c>
      <c r="F16" s="30">
        <v>1.87</v>
      </c>
      <c r="G16" s="30">
        <v>1.87</v>
      </c>
      <c r="H16" s="30">
        <v>1.87</v>
      </c>
      <c r="I16" s="30">
        <v>1.87</v>
      </c>
      <c r="J16" s="30">
        <v>1.87</v>
      </c>
      <c r="K16" s="30">
        <v>1.87</v>
      </c>
      <c r="L16" s="30">
        <v>1.97</v>
      </c>
      <c r="M16" s="30">
        <v>1.97</v>
      </c>
      <c r="N16" s="30">
        <v>1.97</v>
      </c>
      <c r="O16" s="30">
        <v>1.97</v>
      </c>
      <c r="P16" s="30">
        <v>1.87</v>
      </c>
      <c r="Q16" s="30">
        <v>1.87</v>
      </c>
      <c r="R16" s="30">
        <v>1.87</v>
      </c>
      <c r="S16" s="30">
        <v>1.87</v>
      </c>
      <c r="T16" s="30">
        <v>1.87</v>
      </c>
      <c r="U16" s="30">
        <v>1.87</v>
      </c>
      <c r="V16" s="164">
        <f>U16</f>
        <v>1.87</v>
      </c>
      <c r="W16" s="164">
        <f>V16</f>
        <v>1.87</v>
      </c>
      <c r="X16" s="30">
        <f>N16</f>
        <v>1.97</v>
      </c>
      <c r="Y16" s="30">
        <v>1.97</v>
      </c>
      <c r="Z16" s="30">
        <v>1.97</v>
      </c>
      <c r="AA16" s="30">
        <v>1.97</v>
      </c>
      <c r="AB16" s="164">
        <v>1.87</v>
      </c>
      <c r="AC16" s="164">
        <f>AB16</f>
        <v>1.87</v>
      </c>
      <c r="AD16" s="164">
        <f>AC16</f>
        <v>1.87</v>
      </c>
      <c r="AE16" s="164">
        <v>1.87</v>
      </c>
      <c r="AF16" s="164">
        <v>1.87</v>
      </c>
      <c r="AG16" s="164">
        <v>1.87</v>
      </c>
      <c r="AH16" s="164">
        <f>AG16</f>
        <v>1.87</v>
      </c>
      <c r="AI16" s="164">
        <f>AH16</f>
        <v>1.87</v>
      </c>
      <c r="AJ16" s="30">
        <f>Z16</f>
        <v>1.97</v>
      </c>
      <c r="AK16" s="30">
        <v>1.97</v>
      </c>
      <c r="AL16" s="30">
        <v>1.97</v>
      </c>
      <c r="AM16" s="30">
        <v>1.97</v>
      </c>
      <c r="AN16" s="164">
        <v>1.87</v>
      </c>
      <c r="AO16" s="164">
        <f>AN16</f>
        <v>1.87</v>
      </c>
      <c r="AP16" s="164">
        <f>AO16</f>
        <v>1.87</v>
      </c>
      <c r="AQ16" s="164">
        <v>1.87</v>
      </c>
      <c r="AR16" s="164">
        <v>1.87</v>
      </c>
      <c r="AS16" s="164">
        <v>1.87</v>
      </c>
      <c r="AT16" s="164">
        <f>AS16</f>
        <v>1.87</v>
      </c>
      <c r="AU16" s="164">
        <f>AT16</f>
        <v>1.87</v>
      </c>
      <c r="AV16" s="30">
        <f>AL16</f>
        <v>1.97</v>
      </c>
      <c r="AW16" s="30">
        <v>1.97</v>
      </c>
      <c r="AX16" s="30">
        <v>1.97</v>
      </c>
      <c r="AY16" s="30">
        <v>1.97</v>
      </c>
      <c r="AZ16" s="164">
        <v>1.87</v>
      </c>
      <c r="BA16" s="164">
        <f>AZ16</f>
        <v>1.87</v>
      </c>
      <c r="BB16" s="164">
        <f>BA16</f>
        <v>1.87</v>
      </c>
      <c r="BC16" s="164">
        <v>1.87</v>
      </c>
      <c r="BD16" s="164">
        <v>1.87</v>
      </c>
      <c r="BE16" s="164">
        <v>1.87</v>
      </c>
      <c r="BF16" s="164">
        <f>BE16</f>
        <v>1.87</v>
      </c>
      <c r="BG16" s="164">
        <f>BF16</f>
        <v>1.87</v>
      </c>
      <c r="BH16" s="30">
        <f>AX16</f>
        <v>1.97</v>
      </c>
      <c r="BI16" s="30">
        <v>1.97</v>
      </c>
      <c r="BJ16" s="30">
        <v>1.97</v>
      </c>
      <c r="BK16" s="30">
        <v>1.97</v>
      </c>
      <c r="BL16" s="164">
        <v>1.87</v>
      </c>
      <c r="BM16" s="164">
        <f>BL16</f>
        <v>1.87</v>
      </c>
      <c r="BN16" s="164">
        <f>BM16</f>
        <v>1.87</v>
      </c>
    </row>
    <row r="17" spans="1:66" ht="16.899999999999999" customHeight="1" x14ac:dyDescent="0.25">
      <c r="A17" s="23" t="s">
        <v>67</v>
      </c>
      <c r="B17" s="66"/>
      <c r="C17" s="66"/>
      <c r="D17" s="30">
        <v>1.26</v>
      </c>
      <c r="E17" s="30">
        <v>1.26</v>
      </c>
      <c r="F17" s="30">
        <v>1.26</v>
      </c>
      <c r="G17" s="30">
        <v>1.26</v>
      </c>
      <c r="H17" s="30">
        <v>1.26</v>
      </c>
      <c r="I17" s="30">
        <v>1.26</v>
      </c>
      <c r="J17" s="30">
        <v>1.26</v>
      </c>
      <c r="K17" s="30">
        <v>1.26</v>
      </c>
      <c r="L17" s="30">
        <v>1.35</v>
      </c>
      <c r="M17" s="30">
        <v>1.35</v>
      </c>
      <c r="N17" s="30">
        <v>1.35</v>
      </c>
      <c r="O17" s="30">
        <v>1.35</v>
      </c>
      <c r="P17" s="30">
        <v>1.26</v>
      </c>
      <c r="Q17" s="30">
        <v>1.26</v>
      </c>
      <c r="R17" s="30">
        <v>1.26</v>
      </c>
      <c r="S17" s="30">
        <v>1.26</v>
      </c>
      <c r="T17" s="30">
        <v>1.26</v>
      </c>
      <c r="U17" s="30">
        <v>1.26</v>
      </c>
      <c r="V17" s="163">
        <v>1.31</v>
      </c>
      <c r="W17" s="163">
        <v>1.31</v>
      </c>
      <c r="X17" s="163">
        <v>1.41</v>
      </c>
      <c r="Y17" s="163">
        <v>1.41</v>
      </c>
      <c r="Z17" s="163">
        <v>1.41</v>
      </c>
      <c r="AA17" s="163">
        <v>1.41</v>
      </c>
      <c r="AB17" s="163">
        <v>1.31</v>
      </c>
      <c r="AC17" s="163">
        <v>1.31</v>
      </c>
      <c r="AD17" s="164">
        <v>1.31</v>
      </c>
      <c r="AE17" s="164">
        <v>1.31</v>
      </c>
      <c r="AF17" s="164">
        <v>1.31</v>
      </c>
      <c r="AG17" s="164">
        <v>1.31</v>
      </c>
      <c r="AH17" s="164">
        <v>1.31</v>
      </c>
      <c r="AI17" s="164">
        <v>1.31</v>
      </c>
      <c r="AJ17" s="163">
        <v>1.41</v>
      </c>
      <c r="AK17" s="163">
        <v>1.41</v>
      </c>
      <c r="AL17" s="163">
        <v>1.41</v>
      </c>
      <c r="AM17" s="163">
        <v>1.41</v>
      </c>
      <c r="AN17" s="164">
        <v>1.31</v>
      </c>
      <c r="AO17" s="164">
        <v>1.31</v>
      </c>
      <c r="AP17" s="164">
        <v>1.31</v>
      </c>
      <c r="AQ17" s="164">
        <v>1.31</v>
      </c>
      <c r="AR17" s="164">
        <v>1.31</v>
      </c>
      <c r="AS17" s="164">
        <v>1.31</v>
      </c>
      <c r="AT17" s="164">
        <v>1.31</v>
      </c>
      <c r="AU17" s="164">
        <v>1.31</v>
      </c>
      <c r="AV17" s="163">
        <v>1.41</v>
      </c>
      <c r="AW17" s="163">
        <v>1.41</v>
      </c>
      <c r="AX17" s="163">
        <v>1.41</v>
      </c>
      <c r="AY17" s="163">
        <v>1.41</v>
      </c>
      <c r="AZ17" s="164">
        <v>1.31</v>
      </c>
      <c r="BA17" s="164">
        <v>1.31</v>
      </c>
      <c r="BB17" s="164">
        <v>1.31</v>
      </c>
      <c r="BC17" s="164">
        <v>1.31</v>
      </c>
      <c r="BD17" s="164">
        <v>1.31</v>
      </c>
      <c r="BE17" s="164">
        <v>1.31</v>
      </c>
      <c r="BF17" s="164">
        <v>1.31</v>
      </c>
      <c r="BG17" s="164">
        <v>1.31</v>
      </c>
      <c r="BH17" s="163">
        <v>1.41</v>
      </c>
      <c r="BI17" s="163">
        <v>1.41</v>
      </c>
      <c r="BJ17" s="163">
        <v>1.41</v>
      </c>
      <c r="BK17" s="163">
        <v>1.41</v>
      </c>
      <c r="BL17" s="164">
        <v>1.31</v>
      </c>
      <c r="BM17" s="164">
        <v>1.31</v>
      </c>
      <c r="BN17" s="164">
        <v>1.31</v>
      </c>
    </row>
    <row r="18" spans="1:66" ht="19.149999999999999" customHeight="1" x14ac:dyDescent="0.25">
      <c r="A18" s="330" t="s">
        <v>65</v>
      </c>
      <c r="B18" s="331"/>
      <c r="C18" s="332"/>
      <c r="D18" s="31">
        <v>81600</v>
      </c>
      <c r="E18" s="31">
        <v>83000</v>
      </c>
      <c r="F18" s="31">
        <v>80300</v>
      </c>
      <c r="G18" s="31">
        <v>56200</v>
      </c>
      <c r="H18" s="31">
        <v>42800</v>
      </c>
      <c r="I18" s="25">
        <v>58900</v>
      </c>
      <c r="J18" s="25">
        <v>46100</v>
      </c>
      <c r="K18" s="31">
        <v>67300</v>
      </c>
      <c r="L18" s="25">
        <v>96600</v>
      </c>
      <c r="M18" s="25">
        <v>88600</v>
      </c>
      <c r="N18" s="25">
        <v>86300</v>
      </c>
      <c r="O18" s="25">
        <v>80100</v>
      </c>
      <c r="P18" s="25">
        <v>82700</v>
      </c>
      <c r="Q18" s="25">
        <v>93200</v>
      </c>
      <c r="R18" s="25">
        <v>87700</v>
      </c>
      <c r="S18" s="31">
        <v>91800</v>
      </c>
      <c r="T18" s="31">
        <v>62400</v>
      </c>
      <c r="U18" s="31">
        <v>91100</v>
      </c>
      <c r="V18" s="31">
        <v>75200</v>
      </c>
      <c r="W18" s="31">
        <v>90100</v>
      </c>
      <c r="X18" s="25">
        <v>83100</v>
      </c>
      <c r="Y18" s="25">
        <v>91900</v>
      </c>
      <c r="Z18" s="25">
        <v>88300</v>
      </c>
      <c r="AA18" s="25">
        <v>76400</v>
      </c>
      <c r="AB18" s="25">
        <v>93000</v>
      </c>
      <c r="AC18" s="25">
        <v>83400</v>
      </c>
      <c r="AD18" s="25">
        <v>85800</v>
      </c>
      <c r="AE18" s="31">
        <v>92100</v>
      </c>
      <c r="AF18" s="31">
        <v>56000</v>
      </c>
      <c r="AG18" s="31">
        <v>87900</v>
      </c>
      <c r="AH18" s="31">
        <v>84200</v>
      </c>
      <c r="AI18" s="31">
        <v>96400</v>
      </c>
      <c r="AJ18" s="25">
        <v>82700</v>
      </c>
      <c r="AK18" s="25">
        <v>97800</v>
      </c>
      <c r="AL18" s="25">
        <v>91500</v>
      </c>
      <c r="AM18" s="25">
        <v>75900</v>
      </c>
      <c r="AN18" s="25">
        <v>87300</v>
      </c>
      <c r="AO18" s="25">
        <v>89400</v>
      </c>
      <c r="AP18" s="25">
        <v>92400</v>
      </c>
      <c r="AQ18" s="31">
        <v>68200</v>
      </c>
      <c r="AR18" s="31">
        <v>77300</v>
      </c>
      <c r="AS18" s="31">
        <v>71100</v>
      </c>
      <c r="AT18" s="31">
        <v>50000</v>
      </c>
      <c r="AU18" s="31">
        <v>45200</v>
      </c>
      <c r="AV18" s="25">
        <v>53057</v>
      </c>
      <c r="AW18" s="25">
        <v>66200</v>
      </c>
      <c r="AX18" s="25">
        <v>66600</v>
      </c>
      <c r="AY18" s="25">
        <v>58000</v>
      </c>
      <c r="AZ18" s="25">
        <v>52100</v>
      </c>
      <c r="BA18" s="25">
        <v>56600</v>
      </c>
      <c r="BB18" s="25">
        <v>60300</v>
      </c>
      <c r="BC18" s="31">
        <v>57200</v>
      </c>
      <c r="BD18" s="31">
        <v>53700</v>
      </c>
      <c r="BE18" s="31">
        <v>96400</v>
      </c>
      <c r="BF18" s="31">
        <v>93100</v>
      </c>
      <c r="BG18" s="31">
        <v>102900</v>
      </c>
      <c r="BH18" s="25">
        <v>113500</v>
      </c>
      <c r="BI18" s="25">
        <v>120700</v>
      </c>
      <c r="BJ18" s="25">
        <v>114700</v>
      </c>
      <c r="BK18" s="25">
        <v>96700</v>
      </c>
      <c r="BL18" s="25">
        <v>94900</v>
      </c>
      <c r="BM18" s="25">
        <v>102600</v>
      </c>
      <c r="BN18" s="25"/>
    </row>
    <row r="19" spans="1:66" ht="19.149999999999999" customHeight="1" x14ac:dyDescent="0.25">
      <c r="A19" s="330" t="s">
        <v>66</v>
      </c>
      <c r="B19" s="331"/>
      <c r="C19" s="332"/>
      <c r="D19" s="31">
        <v>12500</v>
      </c>
      <c r="E19" s="31">
        <v>9900</v>
      </c>
      <c r="F19" s="31">
        <v>6800</v>
      </c>
      <c r="G19" s="31">
        <v>3400</v>
      </c>
      <c r="H19" s="31">
        <v>7100</v>
      </c>
      <c r="I19" s="25">
        <v>7200</v>
      </c>
      <c r="J19" s="25">
        <v>4400</v>
      </c>
      <c r="K19" s="31">
        <v>7400</v>
      </c>
      <c r="L19" s="25">
        <v>12700</v>
      </c>
      <c r="M19" s="25">
        <v>8200</v>
      </c>
      <c r="N19" s="25">
        <v>6300</v>
      </c>
      <c r="O19" s="25">
        <v>10700</v>
      </c>
      <c r="P19" s="25">
        <v>9800</v>
      </c>
      <c r="Q19" s="25">
        <v>9800</v>
      </c>
      <c r="R19" s="25">
        <v>13700</v>
      </c>
      <c r="S19" s="31">
        <v>11100</v>
      </c>
      <c r="T19" s="31">
        <v>9900</v>
      </c>
      <c r="U19" s="31">
        <v>13800</v>
      </c>
      <c r="V19" s="31">
        <v>7500</v>
      </c>
      <c r="W19" s="31">
        <v>11200</v>
      </c>
      <c r="X19" s="25">
        <v>8200</v>
      </c>
      <c r="Y19" s="25">
        <v>7800</v>
      </c>
      <c r="Z19" s="25">
        <v>8800</v>
      </c>
      <c r="AA19" s="25">
        <v>10700</v>
      </c>
      <c r="AB19" s="25">
        <v>12200</v>
      </c>
      <c r="AC19" s="25">
        <v>9100</v>
      </c>
      <c r="AD19" s="25">
        <v>13700</v>
      </c>
      <c r="AE19" s="31">
        <v>10600</v>
      </c>
      <c r="AF19" s="31">
        <v>7900</v>
      </c>
      <c r="AG19" s="31">
        <v>13700</v>
      </c>
      <c r="AH19" s="31">
        <v>8100</v>
      </c>
      <c r="AI19" s="31">
        <v>7900</v>
      </c>
      <c r="AJ19" s="25">
        <v>8700</v>
      </c>
      <c r="AK19" s="25">
        <v>8700</v>
      </c>
      <c r="AL19" s="25">
        <v>10700</v>
      </c>
      <c r="AM19" s="25">
        <v>8600</v>
      </c>
      <c r="AN19" s="25">
        <v>10800</v>
      </c>
      <c r="AO19" s="25">
        <v>12500</v>
      </c>
      <c r="AP19" s="25">
        <v>10200</v>
      </c>
      <c r="AQ19" s="31">
        <v>7200</v>
      </c>
      <c r="AR19" s="31">
        <v>11000</v>
      </c>
      <c r="AS19" s="31">
        <v>4200</v>
      </c>
      <c r="AT19" s="31">
        <v>1300</v>
      </c>
      <c r="AU19" s="31">
        <v>4700</v>
      </c>
      <c r="AV19" s="25">
        <v>4200</v>
      </c>
      <c r="AW19" s="25">
        <v>4900</v>
      </c>
      <c r="AX19" s="25">
        <v>8100</v>
      </c>
      <c r="AY19" s="25">
        <v>3700</v>
      </c>
      <c r="AZ19" s="25">
        <v>3500</v>
      </c>
      <c r="BA19" s="25">
        <v>2300</v>
      </c>
      <c r="BB19" s="25">
        <v>5300</v>
      </c>
      <c r="BC19" s="31">
        <v>4300</v>
      </c>
      <c r="BD19" s="31">
        <v>5200</v>
      </c>
      <c r="BE19" s="31">
        <v>5900</v>
      </c>
      <c r="BF19" s="31">
        <v>2300</v>
      </c>
      <c r="BG19" s="31">
        <v>6700</v>
      </c>
      <c r="BH19" s="25">
        <v>7800</v>
      </c>
      <c r="BI19" s="25">
        <v>7300</v>
      </c>
      <c r="BJ19" s="25">
        <v>2600</v>
      </c>
      <c r="BK19" s="25">
        <v>6400</v>
      </c>
      <c r="BL19" s="25">
        <v>6000</v>
      </c>
      <c r="BM19" s="25">
        <v>6400</v>
      </c>
      <c r="BN19" s="25"/>
    </row>
    <row r="20" spans="1:66" ht="19.149999999999999" customHeight="1" x14ac:dyDescent="0.25">
      <c r="A20" s="330" t="s">
        <v>67</v>
      </c>
      <c r="B20" s="331"/>
      <c r="C20" s="332"/>
      <c r="D20" s="31">
        <v>19800</v>
      </c>
      <c r="E20" s="31">
        <v>18200</v>
      </c>
      <c r="F20" s="31">
        <v>21500</v>
      </c>
      <c r="G20" s="31">
        <v>20500</v>
      </c>
      <c r="H20" s="31">
        <v>9800</v>
      </c>
      <c r="I20" s="25">
        <v>9800</v>
      </c>
      <c r="J20" s="25">
        <v>10000</v>
      </c>
      <c r="K20" s="31">
        <v>20500</v>
      </c>
      <c r="L20" s="25">
        <v>31500</v>
      </c>
      <c r="M20" s="25">
        <v>32500</v>
      </c>
      <c r="N20" s="25">
        <v>29300</v>
      </c>
      <c r="O20" s="25">
        <v>30600</v>
      </c>
      <c r="P20" s="25">
        <v>44400</v>
      </c>
      <c r="Q20" s="25">
        <v>41100</v>
      </c>
      <c r="R20" s="25">
        <v>44200</v>
      </c>
      <c r="S20" s="31">
        <v>46500</v>
      </c>
      <c r="T20" s="31">
        <v>47900</v>
      </c>
      <c r="U20" s="31">
        <v>35700</v>
      </c>
      <c r="V20" s="31">
        <v>36800</v>
      </c>
      <c r="W20" s="31">
        <v>32600</v>
      </c>
      <c r="X20" s="25">
        <v>29200</v>
      </c>
      <c r="Y20" s="25">
        <v>32400</v>
      </c>
      <c r="Z20" s="25">
        <v>32600</v>
      </c>
      <c r="AA20" s="25">
        <v>39600</v>
      </c>
      <c r="AB20" s="25">
        <v>38600</v>
      </c>
      <c r="AC20" s="25">
        <v>33800</v>
      </c>
      <c r="AD20" s="25">
        <v>41300</v>
      </c>
      <c r="AE20" s="31">
        <v>45800</v>
      </c>
      <c r="AF20" s="31">
        <v>38600</v>
      </c>
      <c r="AG20" s="31">
        <v>39900</v>
      </c>
      <c r="AH20" s="31">
        <v>38300</v>
      </c>
      <c r="AI20" s="31">
        <v>38600</v>
      </c>
      <c r="AJ20" s="25">
        <v>33200</v>
      </c>
      <c r="AK20" s="25">
        <v>34100</v>
      </c>
      <c r="AL20" s="25">
        <v>34200</v>
      </c>
      <c r="AM20" s="25">
        <v>36900</v>
      </c>
      <c r="AN20" s="25">
        <v>39700</v>
      </c>
      <c r="AO20" s="25">
        <v>41100</v>
      </c>
      <c r="AP20" s="25">
        <v>44600</v>
      </c>
      <c r="AQ20" s="31">
        <v>45900</v>
      </c>
      <c r="AR20" s="31">
        <v>36900</v>
      </c>
      <c r="AS20" s="31">
        <v>26400</v>
      </c>
      <c r="AT20" s="31">
        <v>16200</v>
      </c>
      <c r="AU20" s="31">
        <v>17900</v>
      </c>
      <c r="AV20" s="25">
        <v>18000</v>
      </c>
      <c r="AW20" s="25">
        <v>17100</v>
      </c>
      <c r="AX20" s="25">
        <v>21500</v>
      </c>
      <c r="AY20" s="25">
        <v>21800</v>
      </c>
      <c r="AZ20" s="25">
        <v>23400</v>
      </c>
      <c r="BA20" s="25">
        <v>20000</v>
      </c>
      <c r="BB20" s="25">
        <v>25600</v>
      </c>
      <c r="BC20" s="31">
        <v>26600</v>
      </c>
      <c r="BD20" s="31">
        <v>27400</v>
      </c>
      <c r="BE20" s="31">
        <v>31000</v>
      </c>
      <c r="BF20" s="31">
        <v>27200</v>
      </c>
      <c r="BG20" s="31">
        <v>27500</v>
      </c>
      <c r="BH20" s="25">
        <v>28100</v>
      </c>
      <c r="BI20" s="25">
        <v>34700</v>
      </c>
      <c r="BJ20" s="25">
        <v>30900</v>
      </c>
      <c r="BK20" s="25">
        <v>30600</v>
      </c>
      <c r="BL20" s="25">
        <v>36000</v>
      </c>
      <c r="BM20" s="25">
        <v>37600</v>
      </c>
      <c r="BN20" s="25"/>
    </row>
    <row r="21" spans="1:66" ht="19.149999999999999" customHeight="1" x14ac:dyDescent="0.25">
      <c r="A21" s="344" t="s">
        <v>82</v>
      </c>
      <c r="B21" s="345"/>
      <c r="C21" s="346"/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</row>
    <row r="22" spans="1:66" ht="19.149999999999999" customHeight="1" thickBot="1" x14ac:dyDescent="0.3">
      <c r="A22" s="327" t="s">
        <v>1</v>
      </c>
      <c r="B22" s="328"/>
      <c r="C22" s="329"/>
      <c r="D22" s="32">
        <f>D18*D15+D19*D16+D20*D17</f>
        <v>295571</v>
      </c>
      <c r="E22" s="32">
        <f>E18*E15+E19*E16+E20*E17</f>
        <v>292935</v>
      </c>
      <c r="F22" s="32">
        <f>F18*F15+F19*F16+F20*F17</f>
        <v>283115</v>
      </c>
      <c r="G22" s="32">
        <f>G18*G15+G19*G16+G20*G17</f>
        <v>202474</v>
      </c>
      <c r="H22" s="32">
        <f t="shared" ref="H22:Q22" si="29">H18*H15+H19*H16+H20*H17</f>
        <v>155309</v>
      </c>
      <c r="I22" s="32">
        <f t="shared" si="29"/>
        <v>204279</v>
      </c>
      <c r="J22" s="32">
        <f t="shared" si="29"/>
        <v>160511</v>
      </c>
      <c r="K22" s="32">
        <f t="shared" si="29"/>
        <v>243587</v>
      </c>
      <c r="L22" s="33">
        <f t="shared" si="29"/>
        <v>369902</v>
      </c>
      <c r="M22" s="33">
        <f t="shared" si="29"/>
        <v>337347</v>
      </c>
      <c r="N22" s="33">
        <f t="shared" si="29"/>
        <v>322085</v>
      </c>
      <c r="O22" s="33">
        <f t="shared" si="29"/>
        <v>313102</v>
      </c>
      <c r="P22" s="33">
        <f t="shared" si="29"/>
        <v>324851</v>
      </c>
      <c r="Q22" s="33">
        <f t="shared" si="29"/>
        <v>352508</v>
      </c>
      <c r="R22" s="33">
        <f>R18*R15+R19*R16+R20*R17</f>
        <v>347042</v>
      </c>
      <c r="S22" s="32">
        <f>S18*S15+S19*S16+S20*S17</f>
        <v>357501</v>
      </c>
      <c r="T22" s="32">
        <f t="shared" ref="T22:AC22" si="30">T18*T15+T19*T16+T20*T17</f>
        <v>267939</v>
      </c>
      <c r="U22" s="32">
        <f t="shared" si="30"/>
        <v>346821</v>
      </c>
      <c r="V22" s="32">
        <f t="shared" si="30"/>
        <v>300617</v>
      </c>
      <c r="W22" s="32">
        <f t="shared" si="30"/>
        <v>349267</v>
      </c>
      <c r="X22" s="33">
        <f t="shared" si="30"/>
        <v>330725</v>
      </c>
      <c r="Y22" s="33">
        <f t="shared" si="30"/>
        <v>363401</v>
      </c>
      <c r="Z22" s="33">
        <f t="shared" si="30"/>
        <v>353809</v>
      </c>
      <c r="AA22" s="33">
        <f t="shared" si="30"/>
        <v>328271</v>
      </c>
      <c r="AB22" s="33">
        <f t="shared" si="30"/>
        <v>368190</v>
      </c>
      <c r="AC22" s="33">
        <f t="shared" si="30"/>
        <v>325673</v>
      </c>
      <c r="AD22" s="33">
        <f>AD18*AD15+AD19*AD16+AD20*AD17</f>
        <v>351708</v>
      </c>
      <c r="AE22" s="32">
        <f>AE18*AE15+AE19*AE16+AE20*AE17</f>
        <v>371777</v>
      </c>
      <c r="AF22" s="32">
        <f t="shared" ref="AF22:AO22" si="31">AF18*AF15+AF19*AF16+AF20*AF17</f>
        <v>242859</v>
      </c>
      <c r="AG22" s="32">
        <f t="shared" si="31"/>
        <v>356531</v>
      </c>
      <c r="AH22" s="32">
        <f t="shared" si="31"/>
        <v>332234</v>
      </c>
      <c r="AI22" s="32">
        <f t="shared" si="31"/>
        <v>370927</v>
      </c>
      <c r="AJ22" s="33">
        <f t="shared" si="31"/>
        <v>336034</v>
      </c>
      <c r="AK22" s="33">
        <f t="shared" si="31"/>
        <v>386982</v>
      </c>
      <c r="AL22" s="33">
        <f t="shared" si="31"/>
        <v>370336</v>
      </c>
      <c r="AM22" s="33">
        <f t="shared" si="31"/>
        <v>318682</v>
      </c>
      <c r="AN22" s="33">
        <f t="shared" si="31"/>
        <v>348944</v>
      </c>
      <c r="AO22" s="33">
        <f t="shared" si="31"/>
        <v>360614</v>
      </c>
      <c r="AP22" s="33">
        <f>AP18*AP15+AP19*AP16+AP20*AP17</f>
        <v>370408</v>
      </c>
      <c r="AQ22" s="32">
        <f>AQ18*AQ15+AQ19*AQ16+AQ20*AQ17</f>
        <v>289787</v>
      </c>
      <c r="AR22" s="32">
        <f t="shared" ref="AR22:BA22" si="32">AR18*AR15+AR19*AR16+AR20*AR17</f>
        <v>313950</v>
      </c>
      <c r="AS22" s="32">
        <f t="shared" si="32"/>
        <v>267825</v>
      </c>
      <c r="AT22" s="32">
        <f t="shared" si="32"/>
        <v>182153</v>
      </c>
      <c r="AU22" s="32">
        <f t="shared" si="32"/>
        <v>175522</v>
      </c>
      <c r="AV22" s="33">
        <f t="shared" si="32"/>
        <v>208211.53</v>
      </c>
      <c r="AW22" s="33">
        <f t="shared" si="32"/>
        <v>251562</v>
      </c>
      <c r="AX22" s="33">
        <f t="shared" si="32"/>
        <v>265386</v>
      </c>
      <c r="AY22" s="33">
        <f t="shared" si="32"/>
        <v>228847</v>
      </c>
      <c r="AZ22" s="33">
        <f t="shared" si="32"/>
        <v>202356</v>
      </c>
      <c r="BA22" s="33">
        <f t="shared" si="32"/>
        <v>209923</v>
      </c>
      <c r="BB22" s="33">
        <f>BB18*BB15+BB19*BB16+BB20*BB17</f>
        <v>234598</v>
      </c>
      <c r="BC22" s="32">
        <f>BC18*BC15+BC19*BC16+BC20*BC17</f>
        <v>224211</v>
      </c>
      <c r="BD22" s="32">
        <f t="shared" ref="BD22:BM22" si="33">BD18*BD15+BD19*BD16+BD20*BD17</f>
        <v>215847</v>
      </c>
      <c r="BE22" s="32">
        <f t="shared" si="33"/>
        <v>357231</v>
      </c>
      <c r="BF22" s="32">
        <f t="shared" si="33"/>
        <v>335060</v>
      </c>
      <c r="BG22" s="32">
        <f t="shared" si="33"/>
        <v>374747</v>
      </c>
      <c r="BH22" s="33">
        <f t="shared" si="33"/>
        <v>428402</v>
      </c>
      <c r="BI22" s="33">
        <f t="shared" si="33"/>
        <v>460411</v>
      </c>
      <c r="BJ22" s="33">
        <f t="shared" si="33"/>
        <v>426054</v>
      </c>
      <c r="BK22" s="33">
        <f t="shared" si="33"/>
        <v>373897</v>
      </c>
      <c r="BL22" s="33">
        <f t="shared" si="33"/>
        <v>359213</v>
      </c>
      <c r="BM22" s="33">
        <f t="shared" si="33"/>
        <v>386466</v>
      </c>
      <c r="BN22" s="33">
        <f>BN18*BN15+BN19*BN16+BN20*BN17</f>
        <v>0</v>
      </c>
    </row>
    <row r="23" spans="1:66" ht="19.149999999999999" customHeight="1" thickTop="1" x14ac:dyDescent="0.3">
      <c r="A23" s="34" t="s">
        <v>63</v>
      </c>
      <c r="B23" s="35"/>
      <c r="C23" s="36"/>
      <c r="D23" s="29"/>
      <c r="E23" s="29"/>
      <c r="F23" s="29"/>
      <c r="G23" s="29"/>
      <c r="H23" s="29"/>
      <c r="I23" s="29"/>
      <c r="J23" s="29"/>
      <c r="K23" s="6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68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68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68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68"/>
      <c r="BH23" s="29"/>
      <c r="BI23" s="29"/>
      <c r="BJ23" s="29"/>
      <c r="BK23" s="29"/>
      <c r="BL23" s="29"/>
      <c r="BM23" s="29"/>
      <c r="BN23" s="29"/>
    </row>
    <row r="24" spans="1:66" ht="19.149999999999999" customHeight="1" x14ac:dyDescent="0.25">
      <c r="A24" s="330" t="s">
        <v>64</v>
      </c>
      <c r="B24" s="331"/>
      <c r="C24" s="332"/>
      <c r="D24" s="37"/>
      <c r="E24" s="37"/>
      <c r="F24" s="37"/>
      <c r="G24" s="37">
        <v>572</v>
      </c>
      <c r="H24" s="37">
        <v>1341</v>
      </c>
      <c r="I24" s="37">
        <v>1338.5</v>
      </c>
      <c r="J24" s="37">
        <v>1791</v>
      </c>
      <c r="K24" s="31">
        <v>308</v>
      </c>
      <c r="L24" s="98">
        <v>-2386.1</v>
      </c>
      <c r="M24" s="98">
        <v>-1779</v>
      </c>
      <c r="N24" s="110">
        <v>-1288</v>
      </c>
      <c r="O24" s="110">
        <v>-1679.9</v>
      </c>
      <c r="P24" s="110">
        <v>-2370</v>
      </c>
      <c r="Q24" s="110">
        <v>-3381</v>
      </c>
      <c r="R24" s="110">
        <v>-3337.1</v>
      </c>
      <c r="S24" s="110">
        <v>-3848</v>
      </c>
      <c r="T24" s="110">
        <v>-2704</v>
      </c>
      <c r="U24" s="110">
        <v>-2918</v>
      </c>
      <c r="V24" s="110">
        <v>-2224</v>
      </c>
      <c r="W24" s="165">
        <v>-2097</v>
      </c>
      <c r="X24" s="98">
        <v>-1698.5</v>
      </c>
      <c r="Y24" s="98">
        <v>-1829</v>
      </c>
      <c r="Z24" s="110">
        <v>-2238.6</v>
      </c>
      <c r="AA24" s="110">
        <v>-2533</v>
      </c>
      <c r="AB24" s="110">
        <v>-3506.3</v>
      </c>
      <c r="AC24" s="110">
        <v>-3166</v>
      </c>
      <c r="AD24" s="110">
        <v>-3374</v>
      </c>
      <c r="AE24" s="110">
        <v>-3976.8</v>
      </c>
      <c r="AF24" s="110">
        <v>-2490.6</v>
      </c>
      <c r="AG24" s="110">
        <v>-3413</v>
      </c>
      <c r="AH24" s="110">
        <v>-2816</v>
      </c>
      <c r="AI24" s="165">
        <f>-3087</f>
        <v>-3087</v>
      </c>
      <c r="AJ24" s="98">
        <v>-2579.6</v>
      </c>
      <c r="AK24" s="98">
        <v>-2885.3</v>
      </c>
      <c r="AL24" s="110">
        <v>-2785</v>
      </c>
      <c r="AM24" s="110">
        <v>-2476</v>
      </c>
      <c r="AN24" s="110">
        <v>-3352</v>
      </c>
      <c r="AO24" s="110">
        <v>-3876.4</v>
      </c>
      <c r="AP24" s="110">
        <v>-3964</v>
      </c>
      <c r="AQ24" s="110">
        <v>-2879</v>
      </c>
      <c r="AR24" s="110">
        <v>-3072</v>
      </c>
      <c r="AS24" s="110">
        <f>-1686-631</f>
        <v>-2317</v>
      </c>
      <c r="AT24" s="110">
        <v>504</v>
      </c>
      <c r="AU24" s="165">
        <v>491</v>
      </c>
      <c r="AV24" s="98">
        <v>302</v>
      </c>
      <c r="AW24" s="98"/>
      <c r="AX24" s="110"/>
      <c r="AY24" s="110">
        <v>-645.5</v>
      </c>
      <c r="AZ24" s="110">
        <v>-544.9</v>
      </c>
      <c r="BA24" s="110">
        <v>-268</v>
      </c>
      <c r="BB24" s="110">
        <v>-1152</v>
      </c>
      <c r="BC24" s="110">
        <v>-1150</v>
      </c>
      <c r="BD24" s="110">
        <v>-1430</v>
      </c>
      <c r="BE24" s="110">
        <v>-3018.5</v>
      </c>
      <c r="BF24" s="110">
        <v>-2109</v>
      </c>
      <c r="BG24" s="165">
        <v>-2307.6</v>
      </c>
      <c r="BH24" s="98">
        <v>-3297</v>
      </c>
      <c r="BI24" s="98"/>
      <c r="BJ24" s="110"/>
      <c r="BK24" s="110"/>
      <c r="BL24" s="110"/>
      <c r="BM24" s="110"/>
      <c r="BN24" s="110"/>
    </row>
    <row r="25" spans="1:66" ht="19.149999999999999" customHeight="1" x14ac:dyDescent="0.25">
      <c r="A25" s="336" t="s">
        <v>109</v>
      </c>
      <c r="B25" s="337"/>
      <c r="C25" s="338"/>
      <c r="D25" s="38"/>
      <c r="E25" s="38"/>
      <c r="F25" s="38"/>
      <c r="G25" s="38"/>
      <c r="H25" s="38"/>
      <c r="I25" s="38"/>
      <c r="J25" s="38"/>
      <c r="K25" s="71">
        <v>667</v>
      </c>
      <c r="L25" s="38">
        <v>6167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71"/>
      <c r="X25" s="38"/>
      <c r="Y25" s="38"/>
      <c r="Z25" s="38"/>
      <c r="AA25" s="38"/>
      <c r="AB25" s="38"/>
      <c r="AC25" s="38"/>
      <c r="AD25" s="38"/>
      <c r="AE25" s="38"/>
      <c r="AF25" s="38"/>
      <c r="AG25" s="38">
        <v>50</v>
      </c>
      <c r="AH25" s="38"/>
      <c r="AI25" s="71">
        <v>3004</v>
      </c>
      <c r="AJ25" s="38">
        <v>7155.2</v>
      </c>
      <c r="AK25" s="38">
        <v>894</v>
      </c>
      <c r="AL25" s="38">
        <v>0</v>
      </c>
      <c r="AM25" s="38">
        <v>1342</v>
      </c>
      <c r="AN25" s="38">
        <v>1001</v>
      </c>
      <c r="AO25" s="38"/>
      <c r="AP25" s="38"/>
      <c r="AQ25" s="38"/>
      <c r="AR25" s="38">
        <v>5674</v>
      </c>
      <c r="AS25" s="38"/>
      <c r="AT25" s="38">
        <v>-210</v>
      </c>
      <c r="AU25" s="71"/>
      <c r="AV25" s="38"/>
      <c r="AW25" s="38"/>
      <c r="AX25" s="272">
        <v>-359298</v>
      </c>
      <c r="AY25" s="272">
        <v>-289773</v>
      </c>
      <c r="AZ25" s="272"/>
      <c r="BA25" s="38"/>
      <c r="BB25" s="38"/>
      <c r="BC25" s="38">
        <v>9250</v>
      </c>
      <c r="BD25" s="38">
        <v>0</v>
      </c>
      <c r="BE25" s="38"/>
      <c r="BF25" s="38">
        <v>1335</v>
      </c>
      <c r="BG25" s="71"/>
      <c r="BH25" s="38"/>
      <c r="BI25" s="38"/>
      <c r="BJ25" s="272"/>
      <c r="BK25" s="272"/>
      <c r="BL25" s="272"/>
      <c r="BM25" s="38"/>
      <c r="BN25" s="38"/>
    </row>
    <row r="26" spans="1:66" ht="28.15" customHeight="1" x14ac:dyDescent="0.25">
      <c r="A26" s="339" t="s">
        <v>87</v>
      </c>
      <c r="B26" s="340"/>
      <c r="C26" s="341"/>
      <c r="D26" s="39">
        <f>D13+D22+D24+D25</f>
        <v>295571</v>
      </c>
      <c r="E26" s="39">
        <f>E13+E22+E24+E25</f>
        <v>292935</v>
      </c>
      <c r="F26" s="39">
        <f>F13+F22+F24+F25</f>
        <v>283115</v>
      </c>
      <c r="G26" s="39">
        <f>G13+G22+G24+G25</f>
        <v>286496</v>
      </c>
      <c r="H26" s="39">
        <f t="shared" ref="H26:R26" si="34">H13+H22+H24+H25</f>
        <v>224745</v>
      </c>
      <c r="I26" s="39">
        <f t="shared" si="34"/>
        <v>269039.5</v>
      </c>
      <c r="J26" s="39">
        <f t="shared" si="34"/>
        <v>225724</v>
      </c>
      <c r="K26" s="39">
        <f t="shared" si="34"/>
        <v>307984</v>
      </c>
      <c r="L26" s="40">
        <f t="shared" si="34"/>
        <v>481010.9</v>
      </c>
      <c r="M26" s="40">
        <f t="shared" si="34"/>
        <v>442896</v>
      </c>
      <c r="N26" s="40">
        <f t="shared" si="34"/>
        <v>428125</v>
      </c>
      <c r="O26" s="40">
        <f t="shared" si="34"/>
        <v>418302.89999999997</v>
      </c>
      <c r="P26" s="40">
        <f t="shared" si="34"/>
        <v>392579</v>
      </c>
      <c r="Q26" s="40">
        <f t="shared" si="34"/>
        <v>419225</v>
      </c>
      <c r="R26" s="40">
        <f t="shared" si="34"/>
        <v>413802.9</v>
      </c>
      <c r="S26" s="39">
        <f>S13+S22+S24+S25</f>
        <v>423751</v>
      </c>
      <c r="T26" s="39">
        <f t="shared" ref="T26:AD26" si="35">T13+T22+T24+T25</f>
        <v>335333</v>
      </c>
      <c r="U26" s="39">
        <f t="shared" si="35"/>
        <v>414001</v>
      </c>
      <c r="V26" s="39">
        <f t="shared" si="35"/>
        <v>368491</v>
      </c>
      <c r="W26" s="39">
        <f t="shared" si="35"/>
        <v>417268</v>
      </c>
      <c r="X26" s="40">
        <f t="shared" si="35"/>
        <v>422938.5</v>
      </c>
      <c r="Y26" s="40">
        <f t="shared" si="35"/>
        <v>455484</v>
      </c>
      <c r="Z26" s="40">
        <f t="shared" si="35"/>
        <v>445482.4</v>
      </c>
      <c r="AA26" s="40">
        <f t="shared" si="35"/>
        <v>419650</v>
      </c>
      <c r="AB26" s="40">
        <f t="shared" si="35"/>
        <v>434781.7</v>
      </c>
      <c r="AC26" s="40">
        <f t="shared" si="35"/>
        <v>392605</v>
      </c>
      <c r="AD26" s="40">
        <f t="shared" si="35"/>
        <v>418432</v>
      </c>
      <c r="AE26" s="39">
        <f>AE13+AE22+AE24+AE25</f>
        <v>437898.2</v>
      </c>
      <c r="AF26" s="39">
        <f t="shared" ref="AF26:AP26" si="36">AF13+AF22+AF24+AF25</f>
        <v>310466.40000000002</v>
      </c>
      <c r="AG26" s="39">
        <f t="shared" si="36"/>
        <v>423266</v>
      </c>
      <c r="AH26" s="39">
        <f t="shared" si="36"/>
        <v>399516</v>
      </c>
      <c r="AI26" s="39">
        <f t="shared" si="36"/>
        <v>440942</v>
      </c>
      <c r="AJ26" s="40">
        <f t="shared" si="36"/>
        <v>434521.60000000003</v>
      </c>
      <c r="AK26" s="40">
        <f t="shared" si="36"/>
        <v>478902.7</v>
      </c>
      <c r="AL26" s="40">
        <f t="shared" si="36"/>
        <v>461463</v>
      </c>
      <c r="AM26" s="40">
        <f t="shared" si="36"/>
        <v>411460</v>
      </c>
      <c r="AN26" s="40">
        <f t="shared" si="36"/>
        <v>416691</v>
      </c>
      <c r="AO26" s="40">
        <f t="shared" si="36"/>
        <v>426835.6</v>
      </c>
      <c r="AP26" s="40">
        <f t="shared" si="36"/>
        <v>436542</v>
      </c>
      <c r="AQ26" s="39">
        <f>AQ13+AQ22+AQ24+AQ25</f>
        <v>357006</v>
      </c>
      <c r="AR26" s="39">
        <f t="shared" ref="AR26:BB26" si="37">AR13+AR22+AR24+AR25</f>
        <v>386650</v>
      </c>
      <c r="AS26" s="39">
        <f t="shared" si="37"/>
        <v>335606</v>
      </c>
      <c r="AT26" s="39">
        <f t="shared" si="37"/>
        <v>252545</v>
      </c>
      <c r="AU26" s="39">
        <f t="shared" si="37"/>
        <v>246111</v>
      </c>
      <c r="AV26" s="40">
        <f t="shared" si="37"/>
        <v>302425.53000000003</v>
      </c>
      <c r="AW26" s="40">
        <f t="shared" si="37"/>
        <v>345474</v>
      </c>
      <c r="AX26" s="40">
        <f t="shared" si="37"/>
        <v>0</v>
      </c>
      <c r="AY26" s="40">
        <f t="shared" si="37"/>
        <v>32340.5</v>
      </c>
      <c r="AZ26" s="40">
        <f t="shared" si="37"/>
        <v>271909.09999999998</v>
      </c>
      <c r="BA26" s="40">
        <f t="shared" si="37"/>
        <v>267514</v>
      </c>
      <c r="BB26" s="40">
        <f t="shared" si="37"/>
        <v>286854</v>
      </c>
      <c r="BC26" s="39">
        <f>BC13+BC22+BC24+BC25</f>
        <v>295733</v>
      </c>
      <c r="BD26" s="39">
        <f t="shared" ref="BD26:BN26" si="38">BD13+BD22+BD24+BD25</f>
        <v>284515</v>
      </c>
      <c r="BE26" s="39">
        <f t="shared" si="38"/>
        <v>444326.5</v>
      </c>
      <c r="BF26" s="39">
        <f t="shared" si="38"/>
        <v>421074</v>
      </c>
      <c r="BG26" s="39">
        <f t="shared" si="38"/>
        <v>459227.4</v>
      </c>
      <c r="BH26" s="40">
        <f t="shared" si="38"/>
        <v>546222</v>
      </c>
      <c r="BI26" s="40">
        <f t="shared" si="38"/>
        <v>584336</v>
      </c>
      <c r="BJ26" s="40">
        <f t="shared" si="38"/>
        <v>550185</v>
      </c>
      <c r="BK26" s="40">
        <f t="shared" si="38"/>
        <v>498341</v>
      </c>
      <c r="BL26" s="40">
        <f t="shared" si="38"/>
        <v>451166</v>
      </c>
      <c r="BM26" s="40">
        <f t="shared" si="38"/>
        <v>477746</v>
      </c>
      <c r="BN26" s="40">
        <f t="shared" si="38"/>
        <v>0</v>
      </c>
    </row>
    <row r="27" spans="1:66" ht="19.149999999999999" customHeight="1" x14ac:dyDescent="0.2">
      <c r="A27" s="4" t="s">
        <v>68</v>
      </c>
    </row>
    <row r="28" spans="1:66" ht="19.149999999999999" customHeight="1" x14ac:dyDescent="0.25">
      <c r="A28" s="3" t="s">
        <v>69</v>
      </c>
    </row>
    <row r="29" spans="1:66" ht="19.149999999999999" customHeight="1" x14ac:dyDescent="0.25">
      <c r="A29" s="3"/>
    </row>
    <row r="30" spans="1:66" ht="19.149999999999999" customHeight="1" x14ac:dyDescent="0.25">
      <c r="A30" s="335" t="s">
        <v>110</v>
      </c>
      <c r="B30" s="335"/>
      <c r="C30" s="335"/>
      <c r="D30" s="105">
        <f t="shared" ref="D30:M30" si="39">D18+D19+D20</f>
        <v>113900</v>
      </c>
      <c r="E30" s="105">
        <f t="shared" si="39"/>
        <v>111100</v>
      </c>
      <c r="F30" s="105">
        <f t="shared" si="39"/>
        <v>108600</v>
      </c>
      <c r="G30" s="105">
        <f t="shared" si="39"/>
        <v>80100</v>
      </c>
      <c r="H30" s="105">
        <f t="shared" si="39"/>
        <v>59700</v>
      </c>
      <c r="I30" s="105">
        <f t="shared" si="39"/>
        <v>75900</v>
      </c>
      <c r="J30" s="105">
        <f t="shared" si="39"/>
        <v>60500</v>
      </c>
      <c r="K30" s="105">
        <f t="shared" si="39"/>
        <v>95200</v>
      </c>
      <c r="L30" s="105">
        <f t="shared" si="39"/>
        <v>140800</v>
      </c>
      <c r="M30" s="105">
        <f t="shared" si="39"/>
        <v>129300</v>
      </c>
      <c r="N30" s="105">
        <f>N18+N19+N20</f>
        <v>121900</v>
      </c>
      <c r="O30" s="105">
        <f>O18+O19+O20</f>
        <v>121400</v>
      </c>
      <c r="P30" s="105">
        <f>P18+P19+P20</f>
        <v>136900</v>
      </c>
      <c r="Q30" s="105">
        <f>Q18+Q19+Q20</f>
        <v>144100</v>
      </c>
      <c r="R30" s="105">
        <f>87700+13700+44200</f>
        <v>145600</v>
      </c>
      <c r="S30" s="105">
        <f>91800+11100+46500</f>
        <v>149400</v>
      </c>
      <c r="T30" s="105">
        <f t="shared" ref="T30:AC30" si="40">T18+T19+T20</f>
        <v>120200</v>
      </c>
      <c r="U30" s="105">
        <f t="shared" si="40"/>
        <v>140600</v>
      </c>
      <c r="V30" s="105">
        <f t="shared" si="40"/>
        <v>119500</v>
      </c>
      <c r="W30" s="105">
        <f t="shared" si="40"/>
        <v>133900</v>
      </c>
      <c r="X30" s="105">
        <f t="shared" si="40"/>
        <v>120500</v>
      </c>
      <c r="Y30" s="105">
        <f t="shared" si="40"/>
        <v>132100</v>
      </c>
      <c r="Z30" s="105">
        <f t="shared" si="40"/>
        <v>129700</v>
      </c>
      <c r="AA30" s="105">
        <f t="shared" si="40"/>
        <v>126700</v>
      </c>
      <c r="AB30" s="105">
        <f t="shared" si="40"/>
        <v>143800</v>
      </c>
      <c r="AC30" s="105">
        <f t="shared" si="40"/>
        <v>126300</v>
      </c>
      <c r="AD30" s="105">
        <f>AD18+AD19+AD20</f>
        <v>140800</v>
      </c>
      <c r="AE30" s="105">
        <f>91800+11100+46500</f>
        <v>149400</v>
      </c>
      <c r="AF30" s="105">
        <f t="shared" ref="AF30:AO30" si="41">AF18+AF19+AF20</f>
        <v>102500</v>
      </c>
      <c r="AG30" s="105">
        <f t="shared" si="41"/>
        <v>141500</v>
      </c>
      <c r="AH30" s="105">
        <f t="shared" si="41"/>
        <v>130600</v>
      </c>
      <c r="AI30" s="105">
        <f t="shared" si="41"/>
        <v>142900</v>
      </c>
      <c r="AJ30" s="105">
        <f t="shared" si="41"/>
        <v>124600</v>
      </c>
      <c r="AK30" s="105">
        <f t="shared" si="41"/>
        <v>140600</v>
      </c>
      <c r="AL30" s="105">
        <f t="shared" si="41"/>
        <v>136400</v>
      </c>
      <c r="AM30" s="105">
        <f t="shared" si="41"/>
        <v>121400</v>
      </c>
      <c r="AN30" s="105">
        <f t="shared" si="41"/>
        <v>137800</v>
      </c>
      <c r="AO30" s="105">
        <f t="shared" si="41"/>
        <v>143000</v>
      </c>
      <c r="AP30" s="105">
        <f>AP18+AP19+AP20</f>
        <v>147200</v>
      </c>
    </row>
    <row r="31" spans="1:66" s="57" customFormat="1" ht="23.45" customHeight="1" x14ac:dyDescent="0.25">
      <c r="A31" s="333" t="s">
        <v>112</v>
      </c>
      <c r="B31" s="333"/>
      <c r="C31" s="333"/>
      <c r="D31" s="58">
        <f>D18+D19+D20</f>
        <v>113900</v>
      </c>
      <c r="E31" s="58">
        <f t="shared" ref="E31:K31" si="42">E18+E19+E20</f>
        <v>111100</v>
      </c>
      <c r="F31" s="58">
        <f t="shared" si="42"/>
        <v>108600</v>
      </c>
      <c r="G31" s="58">
        <f t="shared" si="42"/>
        <v>80100</v>
      </c>
      <c r="H31" s="58">
        <f t="shared" si="42"/>
        <v>59700</v>
      </c>
      <c r="I31" s="58">
        <f t="shared" si="42"/>
        <v>75900</v>
      </c>
      <c r="J31" s="58">
        <f t="shared" si="42"/>
        <v>60500</v>
      </c>
      <c r="K31" s="58">
        <f t="shared" si="42"/>
        <v>95200</v>
      </c>
      <c r="L31" s="58">
        <v>140855</v>
      </c>
      <c r="M31" s="58">
        <f>M30</f>
        <v>129300</v>
      </c>
      <c r="N31" s="58">
        <f>N30</f>
        <v>121900</v>
      </c>
      <c r="O31" s="58">
        <f>O30</f>
        <v>121400</v>
      </c>
      <c r="P31" s="58">
        <f>P30</f>
        <v>136900</v>
      </c>
      <c r="Q31" s="58">
        <v>144100</v>
      </c>
      <c r="R31" s="120">
        <f>R30</f>
        <v>145600</v>
      </c>
      <c r="S31" s="58">
        <f>S30</f>
        <v>149400</v>
      </c>
      <c r="T31" s="58">
        <f t="shared" ref="T31:AD31" si="43">T30</f>
        <v>120200</v>
      </c>
      <c r="U31" s="58">
        <f t="shared" si="43"/>
        <v>140600</v>
      </c>
      <c r="V31" s="58">
        <f t="shared" si="43"/>
        <v>119500</v>
      </c>
      <c r="W31" s="58">
        <f t="shared" si="43"/>
        <v>133900</v>
      </c>
      <c r="X31" s="58">
        <f t="shared" si="43"/>
        <v>120500</v>
      </c>
      <c r="Y31" s="58">
        <f t="shared" si="43"/>
        <v>132100</v>
      </c>
      <c r="Z31" s="58">
        <f t="shared" si="43"/>
        <v>129700</v>
      </c>
      <c r="AA31" s="58">
        <f t="shared" si="43"/>
        <v>126700</v>
      </c>
      <c r="AB31" s="58">
        <f t="shared" si="43"/>
        <v>143800</v>
      </c>
      <c r="AC31" s="58">
        <f t="shared" si="43"/>
        <v>126300</v>
      </c>
      <c r="AD31" s="58">
        <f t="shared" si="43"/>
        <v>140800</v>
      </c>
      <c r="AE31" s="58">
        <f>AE30</f>
        <v>149400</v>
      </c>
      <c r="AF31" s="58">
        <f t="shared" ref="AF31:AP31" si="44">AF30</f>
        <v>102500</v>
      </c>
      <c r="AG31" s="58">
        <f t="shared" si="44"/>
        <v>141500</v>
      </c>
      <c r="AH31" s="58">
        <f t="shared" si="44"/>
        <v>130600</v>
      </c>
      <c r="AI31" s="58">
        <f t="shared" si="44"/>
        <v>142900</v>
      </c>
      <c r="AJ31" s="58">
        <f t="shared" si="44"/>
        <v>124600</v>
      </c>
      <c r="AK31" s="58">
        <f t="shared" si="44"/>
        <v>140600</v>
      </c>
      <c r="AL31" s="58">
        <f t="shared" si="44"/>
        <v>136400</v>
      </c>
      <c r="AM31" s="58">
        <f t="shared" si="44"/>
        <v>121400</v>
      </c>
      <c r="AN31" s="58">
        <f t="shared" si="44"/>
        <v>137800</v>
      </c>
      <c r="AO31" s="58">
        <f t="shared" si="44"/>
        <v>143000</v>
      </c>
      <c r="AP31" s="58">
        <f t="shared" si="44"/>
        <v>147200</v>
      </c>
    </row>
    <row r="32" spans="1:66" s="57" customFormat="1" ht="36.6" customHeight="1" thickBot="1" x14ac:dyDescent="0.3">
      <c r="A32" s="334" t="s">
        <v>113</v>
      </c>
      <c r="B32" s="334"/>
      <c r="C32" s="334"/>
      <c r="D32" s="60">
        <v>126683</v>
      </c>
      <c r="E32" s="60">
        <v>101973</v>
      </c>
      <c r="F32" s="60">
        <v>106829</v>
      </c>
      <c r="G32" s="60">
        <v>72086</v>
      </c>
      <c r="H32" s="60">
        <v>56510</v>
      </c>
      <c r="I32" s="60">
        <v>71727</v>
      </c>
      <c r="J32" s="60">
        <v>57511</v>
      </c>
      <c r="K32" s="60">
        <v>75274</v>
      </c>
      <c r="L32" s="60">
        <v>106891</v>
      </c>
      <c r="M32" s="60">
        <v>129915</v>
      </c>
      <c r="N32" s="60">
        <v>117562</v>
      </c>
      <c r="O32" s="60">
        <v>112790</v>
      </c>
      <c r="P32" s="60">
        <v>137076</v>
      </c>
      <c r="Q32" s="60">
        <v>143303</v>
      </c>
      <c r="R32" s="60" t="e">
        <f>#REF!</f>
        <v>#REF!</v>
      </c>
      <c r="S32" s="60" t="e">
        <f>#REF!</f>
        <v>#REF!</v>
      </c>
      <c r="T32" s="60" t="e">
        <f>#REF!</f>
        <v>#REF!</v>
      </c>
      <c r="U32" s="60" t="e">
        <f>#REF!</f>
        <v>#REF!</v>
      </c>
      <c r="V32" s="60" t="e">
        <f>#REF!</f>
        <v>#REF!</v>
      </c>
      <c r="W32" s="60" t="e">
        <f>#REF!</f>
        <v>#REF!</v>
      </c>
      <c r="X32" s="60" t="e">
        <f>#REF!</f>
        <v>#REF!</v>
      </c>
      <c r="Y32" s="60" t="e">
        <f>#REF!</f>
        <v>#REF!</v>
      </c>
      <c r="Z32" s="60" t="e">
        <f>#REF!</f>
        <v>#REF!</v>
      </c>
      <c r="AA32" s="60" t="e">
        <f>#REF!</f>
        <v>#REF!</v>
      </c>
      <c r="AB32" s="60" t="e">
        <f>#REF!</f>
        <v>#REF!</v>
      </c>
      <c r="AC32" s="60" t="e">
        <f>#REF!</f>
        <v>#REF!</v>
      </c>
      <c r="AD32" s="60" t="e">
        <f>#REF!</f>
        <v>#REF!</v>
      </c>
      <c r="AE32" s="60" t="e">
        <f>#REF!</f>
        <v>#REF!</v>
      </c>
      <c r="AF32" s="60" t="e">
        <f>#REF!</f>
        <v>#REF!</v>
      </c>
      <c r="AG32" s="60" t="e">
        <f>#REF!</f>
        <v>#REF!</v>
      </c>
      <c r="AH32" s="60" t="e">
        <f>#REF!</f>
        <v>#REF!</v>
      </c>
      <c r="AI32" s="60" t="e">
        <f>#REF!</f>
        <v>#REF!</v>
      </c>
      <c r="AJ32" s="60" t="e">
        <f>#REF!</f>
        <v>#REF!</v>
      </c>
      <c r="AK32" s="60" t="e">
        <f>#REF!</f>
        <v>#REF!</v>
      </c>
      <c r="AL32" s="60" t="e">
        <f>#REF!</f>
        <v>#REF!</v>
      </c>
      <c r="AM32" s="60" t="e">
        <f>#REF!</f>
        <v>#REF!</v>
      </c>
      <c r="AN32" s="60" t="e">
        <f>#REF!</f>
        <v>#REF!</v>
      </c>
      <c r="AO32" s="60" t="e">
        <f>#REF!</f>
        <v>#REF!</v>
      </c>
      <c r="AP32" s="60" t="e">
        <f>#REF!</f>
        <v>#REF!</v>
      </c>
    </row>
    <row r="33" spans="1:42" s="59" customFormat="1" ht="23.45" customHeight="1" thickTop="1" x14ac:dyDescent="0.25">
      <c r="A33" s="205" t="s">
        <v>114</v>
      </c>
      <c r="B33" s="205"/>
      <c r="C33" s="206" t="e">
        <f>AVERAGE(S33:AD33)</f>
        <v>#REF!</v>
      </c>
      <c r="D33" s="61">
        <f>D31-D32</f>
        <v>-12783</v>
      </c>
      <c r="E33" s="62">
        <f t="shared" ref="E33:AD33" si="45">E31-E32</f>
        <v>9127</v>
      </c>
      <c r="F33" s="62">
        <f t="shared" si="45"/>
        <v>1771</v>
      </c>
      <c r="G33" s="62">
        <f t="shared" si="45"/>
        <v>8014</v>
      </c>
      <c r="H33" s="62">
        <f t="shared" si="45"/>
        <v>3190</v>
      </c>
      <c r="I33" s="62">
        <f t="shared" si="45"/>
        <v>4173</v>
      </c>
      <c r="J33" s="62">
        <f t="shared" si="45"/>
        <v>2989</v>
      </c>
      <c r="K33" s="104">
        <f t="shared" si="45"/>
        <v>19926</v>
      </c>
      <c r="L33" s="104">
        <f t="shared" si="45"/>
        <v>33964</v>
      </c>
      <c r="M33" s="104">
        <f t="shared" si="45"/>
        <v>-615</v>
      </c>
      <c r="N33" s="104">
        <f t="shared" si="45"/>
        <v>4338</v>
      </c>
      <c r="O33" s="104">
        <f t="shared" si="45"/>
        <v>8610</v>
      </c>
      <c r="P33" s="104">
        <f t="shared" si="45"/>
        <v>-176</v>
      </c>
      <c r="Q33" s="104">
        <f t="shared" si="45"/>
        <v>797</v>
      </c>
      <c r="R33" s="104" t="e">
        <f t="shared" si="45"/>
        <v>#REF!</v>
      </c>
      <c r="S33" s="104" t="e">
        <f t="shared" si="45"/>
        <v>#REF!</v>
      </c>
      <c r="T33" s="104" t="e">
        <f t="shared" si="45"/>
        <v>#REF!</v>
      </c>
      <c r="U33" s="104" t="e">
        <f t="shared" si="45"/>
        <v>#REF!</v>
      </c>
      <c r="V33" s="104" t="e">
        <f t="shared" si="45"/>
        <v>#REF!</v>
      </c>
      <c r="W33" s="104" t="e">
        <f t="shared" si="45"/>
        <v>#REF!</v>
      </c>
      <c r="X33" s="104" t="e">
        <f t="shared" si="45"/>
        <v>#REF!</v>
      </c>
      <c r="Y33" s="104" t="e">
        <f t="shared" si="45"/>
        <v>#REF!</v>
      </c>
      <c r="Z33" s="104" t="e">
        <f t="shared" si="45"/>
        <v>#REF!</v>
      </c>
      <c r="AA33" s="104" t="e">
        <f t="shared" si="45"/>
        <v>#REF!</v>
      </c>
      <c r="AB33" s="104" t="e">
        <f t="shared" si="45"/>
        <v>#REF!</v>
      </c>
      <c r="AC33" s="104" t="e">
        <f t="shared" si="45"/>
        <v>#REF!</v>
      </c>
      <c r="AD33" s="104" t="e">
        <f t="shared" si="45"/>
        <v>#REF!</v>
      </c>
      <c r="AE33" s="104" t="e">
        <f t="shared" ref="AE33:AP33" si="46">AE31-AE32</f>
        <v>#REF!</v>
      </c>
      <c r="AF33" s="104" t="e">
        <f t="shared" si="46"/>
        <v>#REF!</v>
      </c>
      <c r="AG33" s="104" t="e">
        <f t="shared" si="46"/>
        <v>#REF!</v>
      </c>
      <c r="AH33" s="104" t="e">
        <f t="shared" si="46"/>
        <v>#REF!</v>
      </c>
      <c r="AI33" s="104" t="e">
        <f t="shared" si="46"/>
        <v>#REF!</v>
      </c>
      <c r="AJ33" s="104" t="e">
        <f t="shared" si="46"/>
        <v>#REF!</v>
      </c>
      <c r="AK33" s="104" t="e">
        <f t="shared" si="46"/>
        <v>#REF!</v>
      </c>
      <c r="AL33" s="104" t="e">
        <f t="shared" si="46"/>
        <v>#REF!</v>
      </c>
      <c r="AM33" s="104" t="e">
        <f t="shared" si="46"/>
        <v>#REF!</v>
      </c>
      <c r="AN33" s="104" t="e">
        <f t="shared" si="46"/>
        <v>#REF!</v>
      </c>
      <c r="AO33" s="104" t="e">
        <f t="shared" si="46"/>
        <v>#REF!</v>
      </c>
      <c r="AP33" s="104" t="e">
        <f t="shared" si="46"/>
        <v>#REF!</v>
      </c>
    </row>
    <row r="34" spans="1:42" ht="23.45" customHeight="1" x14ac:dyDescent="0.25">
      <c r="C34" s="207" t="s">
        <v>138</v>
      </c>
      <c r="M34" s="106" t="s">
        <v>111</v>
      </c>
    </row>
    <row r="35" spans="1:42" ht="19.149999999999999" customHeight="1" x14ac:dyDescent="0.25">
      <c r="D35" s="73" t="s">
        <v>107</v>
      </c>
      <c r="E35" s="73"/>
      <c r="F35" s="74" t="s">
        <v>102</v>
      </c>
      <c r="G35" s="75">
        <v>2354</v>
      </c>
    </row>
    <row r="36" spans="1:42" ht="19.149999999999999" customHeight="1" x14ac:dyDescent="0.25">
      <c r="D36" s="73"/>
      <c r="E36" s="73"/>
      <c r="F36" s="74" t="s">
        <v>1</v>
      </c>
      <c r="G36" s="75">
        <v>16481</v>
      </c>
    </row>
    <row r="37" spans="1:42" ht="19.149999999999999" customHeight="1" x14ac:dyDescent="0.2">
      <c r="D37" s="73"/>
      <c r="E37" s="73"/>
      <c r="F37" s="73"/>
      <c r="G37" s="73"/>
    </row>
  </sheetData>
  <mergeCells count="19">
    <mergeCell ref="A1:A2"/>
    <mergeCell ref="A18:C18"/>
    <mergeCell ref="A19:C19"/>
    <mergeCell ref="A20:C20"/>
    <mergeCell ref="A21:C21"/>
    <mergeCell ref="A7:C7"/>
    <mergeCell ref="A8:C8"/>
    <mergeCell ref="A9:C9"/>
    <mergeCell ref="A10:C10"/>
    <mergeCell ref="A11:C11"/>
    <mergeCell ref="A12:C12"/>
    <mergeCell ref="A22:C22"/>
    <mergeCell ref="A13:C13"/>
    <mergeCell ref="A24:C24"/>
    <mergeCell ref="A31:C31"/>
    <mergeCell ref="A32:C32"/>
    <mergeCell ref="A30:C30"/>
    <mergeCell ref="A25:C25"/>
    <mergeCell ref="A26:C26"/>
  </mergeCells>
  <phoneticPr fontId="2" type="noConversion"/>
  <printOptions horizontalCentered="1"/>
  <pageMargins left="0.23622047244094491" right="0.31496062992125984" top="0.74803149606299213" bottom="0.47244094488188981" header="0.51181102362204722" footer="0.51181102362204722"/>
  <pageSetup paperSize="8" scale="110" fitToWidth="0" fitToHeight="0" orientation="landscape" useFirstPageNumber="1" errors="NA" r:id="rId1"/>
  <headerFooter alignWithMargins="0">
    <oddHeader>&amp;C&amp;"新細明體,標準"&amp;12&amp;A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</sheetPr>
  <dimension ref="A1:AJ41"/>
  <sheetViews>
    <sheetView zoomScale="99" zoomScaleNormal="99" workbookViewId="0">
      <selection activeCell="F10" sqref="F10"/>
    </sheetView>
  </sheetViews>
  <sheetFormatPr defaultRowHeight="25.15" customHeight="1" x14ac:dyDescent="0.2"/>
  <cols>
    <col min="1" max="1" width="6" customWidth="1"/>
    <col min="2" max="3" width="7" style="1" customWidth="1"/>
    <col min="4" max="4" width="11" style="220" customWidth="1"/>
    <col min="5" max="5" width="10" style="227" customWidth="1"/>
    <col min="6" max="6" width="13" style="121" bestFit="1" customWidth="1"/>
    <col min="7" max="7" width="14" style="121" bestFit="1" customWidth="1"/>
    <col min="8" max="8" width="15" style="149" customWidth="1"/>
    <col min="9" max="9" width="10" style="142" customWidth="1"/>
    <col min="10" max="10" width="6" customWidth="1"/>
    <col min="11" max="12" width="7" style="1" customWidth="1"/>
    <col min="13" max="13" width="11" style="220" customWidth="1"/>
    <col min="14" max="14" width="10" style="227" customWidth="1"/>
    <col min="15" max="15" width="13" style="121" bestFit="1" customWidth="1"/>
    <col min="16" max="16" width="14" style="121" bestFit="1" customWidth="1"/>
    <col min="17" max="17" width="15" style="149" customWidth="1"/>
    <col min="18" max="18" width="10" style="142" customWidth="1"/>
    <col min="19" max="19" width="6" customWidth="1"/>
    <col min="20" max="21" width="7" style="1" customWidth="1"/>
    <col min="22" max="22" width="11" style="220" bestFit="1" customWidth="1"/>
    <col min="23" max="23" width="10" style="122" customWidth="1"/>
    <col min="24" max="24" width="13" style="121" bestFit="1" customWidth="1"/>
    <col min="25" max="25" width="14" style="121" bestFit="1" customWidth="1"/>
    <col min="26" max="26" width="15" style="149" customWidth="1"/>
    <col min="27" max="27" width="12" style="142" customWidth="1"/>
    <col min="31" max="31" width="12" style="218" customWidth="1"/>
    <col min="33" max="33" width="12" customWidth="1"/>
    <col min="34" max="34" width="13" customWidth="1"/>
    <col min="35" max="35" width="15" customWidth="1"/>
    <col min="36" max="36" width="12" customWidth="1"/>
  </cols>
  <sheetData>
    <row r="1" spans="1:36" s="123" customFormat="1" ht="25.15" customHeight="1" thickBot="1" x14ac:dyDescent="0.25">
      <c r="A1" s="141" t="s">
        <v>135</v>
      </c>
      <c r="B1" s="132" t="s">
        <v>136</v>
      </c>
      <c r="C1" s="132" t="s">
        <v>0</v>
      </c>
      <c r="D1" s="209" t="s">
        <v>128</v>
      </c>
      <c r="E1" s="221" t="s">
        <v>129</v>
      </c>
      <c r="F1" s="134" t="s">
        <v>4</v>
      </c>
      <c r="G1" s="134" t="s">
        <v>57</v>
      </c>
      <c r="H1" s="145" t="s">
        <v>130</v>
      </c>
      <c r="I1" s="151" t="s">
        <v>133</v>
      </c>
      <c r="J1" s="141" t="s">
        <v>135</v>
      </c>
      <c r="K1" s="132" t="s">
        <v>136</v>
      </c>
      <c r="L1" s="132" t="s">
        <v>0</v>
      </c>
      <c r="M1" s="209" t="s">
        <v>128</v>
      </c>
      <c r="N1" s="221" t="s">
        <v>129</v>
      </c>
      <c r="O1" s="134" t="s">
        <v>4</v>
      </c>
      <c r="P1" s="134" t="s">
        <v>57</v>
      </c>
      <c r="Q1" s="145" t="s">
        <v>130</v>
      </c>
      <c r="R1" s="151" t="s">
        <v>133</v>
      </c>
      <c r="S1" s="141" t="s">
        <v>135</v>
      </c>
      <c r="T1" s="132" t="s">
        <v>136</v>
      </c>
      <c r="U1" s="132" t="s">
        <v>0</v>
      </c>
      <c r="V1" s="209" t="s">
        <v>128</v>
      </c>
      <c r="W1" s="133" t="s">
        <v>129</v>
      </c>
      <c r="X1" s="134" t="s">
        <v>4</v>
      </c>
      <c r="Y1" s="134" t="s">
        <v>57</v>
      </c>
      <c r="Z1" s="145" t="s">
        <v>130</v>
      </c>
      <c r="AA1" s="151" t="s">
        <v>133</v>
      </c>
      <c r="AB1" s="141" t="s">
        <v>135</v>
      </c>
      <c r="AC1" s="132" t="s">
        <v>136</v>
      </c>
      <c r="AD1" s="132" t="s">
        <v>0</v>
      </c>
      <c r="AE1" s="209" t="s">
        <v>128</v>
      </c>
      <c r="AF1" s="133" t="s">
        <v>129</v>
      </c>
      <c r="AG1" s="134" t="s">
        <v>4</v>
      </c>
      <c r="AH1" s="134" t="s">
        <v>57</v>
      </c>
      <c r="AI1" s="145" t="s">
        <v>130</v>
      </c>
      <c r="AJ1" s="151" t="s">
        <v>133</v>
      </c>
    </row>
    <row r="2" spans="1:36" s="123" customFormat="1" ht="28.9" customHeight="1" thickTop="1" x14ac:dyDescent="0.2">
      <c r="A2" s="150">
        <v>109</v>
      </c>
      <c r="B2" s="129" t="s">
        <v>131</v>
      </c>
      <c r="C2" s="2">
        <v>190</v>
      </c>
      <c r="D2" s="211">
        <v>36398</v>
      </c>
      <c r="E2" s="222">
        <v>2.82</v>
      </c>
      <c r="F2" s="125">
        <f>(31711-1302)/1.05</f>
        <v>28960.952380952378</v>
      </c>
      <c r="G2" s="125">
        <f>86325/1.05</f>
        <v>82214.28571428571</v>
      </c>
      <c r="H2" s="147">
        <f t="shared" ref="H2:H12" si="0">F2+G2</f>
        <v>111175.23809523809</v>
      </c>
      <c r="I2" s="152">
        <f t="shared" ref="I2:I12" si="1">H2/D2</f>
        <v>3.0544326088037281</v>
      </c>
      <c r="J2" s="150">
        <v>108</v>
      </c>
      <c r="K2" s="129" t="s">
        <v>131</v>
      </c>
      <c r="L2" s="2">
        <v>190</v>
      </c>
      <c r="M2" s="211">
        <v>50265</v>
      </c>
      <c r="N2" s="222">
        <v>2.81</v>
      </c>
      <c r="O2" s="125">
        <f>(32604-1850)/1.05</f>
        <v>29289.523809523809</v>
      </c>
      <c r="P2" s="125">
        <f>128904/1.05</f>
        <v>122765.71428571428</v>
      </c>
      <c r="Q2" s="147">
        <f t="shared" ref="Q2:Q10" si="2">O2+P2</f>
        <v>152055.23809523808</v>
      </c>
      <c r="R2" s="152">
        <f t="shared" ref="R2:R10" si="3">Q2/M2</f>
        <v>3.0250718809358017</v>
      </c>
      <c r="S2" s="150">
        <v>107</v>
      </c>
      <c r="T2" s="129" t="s">
        <v>131</v>
      </c>
      <c r="U2" s="2">
        <v>200</v>
      </c>
      <c r="V2" s="211">
        <v>51022</v>
      </c>
      <c r="W2" s="124">
        <v>3.03</v>
      </c>
      <c r="X2" s="125">
        <f>(32604-1790)/1.05</f>
        <v>29346.666666666664</v>
      </c>
      <c r="Y2" s="125">
        <f>110755/1.05</f>
        <v>105480.95238095238</v>
      </c>
      <c r="Z2" s="147">
        <f t="shared" ref="Z2:Z10" si="4">X2+Y2</f>
        <v>134827.61904761905</v>
      </c>
      <c r="AA2" s="152">
        <f t="shared" ref="AA2:AA10" si="5">Z2/V2</f>
        <v>2.6425388861200867</v>
      </c>
      <c r="AB2" s="190">
        <v>106</v>
      </c>
      <c r="AC2" s="129" t="s">
        <v>131</v>
      </c>
      <c r="AD2" s="129">
        <v>370</v>
      </c>
      <c r="AE2" s="210">
        <f>4601+1900+16800+20500</f>
        <v>43801</v>
      </c>
      <c r="AF2" s="130">
        <v>3.03</v>
      </c>
      <c r="AG2" s="131">
        <f>(53408-2737+8345-230)/1.05</f>
        <v>55986.666666666664</v>
      </c>
      <c r="AH2" s="131">
        <f>(15649+6462+57140+38540)/1.05</f>
        <v>112181.90476190476</v>
      </c>
      <c r="AI2" s="146">
        <f>AG2+AH2</f>
        <v>168168.57142857142</v>
      </c>
      <c r="AJ2" s="191">
        <f>AI2/AE2</f>
        <v>3.8393774440896653</v>
      </c>
    </row>
    <row r="3" spans="1:36" s="123" customFormat="1" ht="28.9" customHeight="1" x14ac:dyDescent="0.2">
      <c r="A3" s="150">
        <v>109</v>
      </c>
      <c r="B3" s="2" t="s">
        <v>117</v>
      </c>
      <c r="C3" s="2">
        <v>190</v>
      </c>
      <c r="D3" s="211">
        <v>41957</v>
      </c>
      <c r="E3" s="222">
        <v>3.71</v>
      </c>
      <c r="F3" s="125">
        <v>34281</v>
      </c>
      <c r="G3" s="125">
        <v>102512</v>
      </c>
      <c r="H3" s="147">
        <f t="shared" si="0"/>
        <v>136793</v>
      </c>
      <c r="I3" s="152">
        <f t="shared" si="1"/>
        <v>3.2603141311342565</v>
      </c>
      <c r="J3" s="150">
        <v>108</v>
      </c>
      <c r="K3" s="2" t="s">
        <v>117</v>
      </c>
      <c r="L3" s="2">
        <v>190</v>
      </c>
      <c r="M3" s="211">
        <v>35961</v>
      </c>
      <c r="N3" s="222">
        <v>3.21</v>
      </c>
      <c r="O3" s="125">
        <f>(32604-1019)/1.05</f>
        <v>30080.952380952378</v>
      </c>
      <c r="P3" s="125">
        <f>90064/1.05</f>
        <v>85775.238095238092</v>
      </c>
      <c r="Q3" s="147">
        <f t="shared" si="2"/>
        <v>115856.19047619047</v>
      </c>
      <c r="R3" s="152">
        <f t="shared" si="3"/>
        <v>3.2217177074105412</v>
      </c>
      <c r="S3" s="150">
        <v>107</v>
      </c>
      <c r="T3" s="2" t="s">
        <v>117</v>
      </c>
      <c r="U3" s="2">
        <v>200</v>
      </c>
      <c r="V3" s="211">
        <v>39157</v>
      </c>
      <c r="W3" s="124">
        <v>3.03</v>
      </c>
      <c r="X3" s="125">
        <f>(32604-1258)/1.05</f>
        <v>29853.333333333332</v>
      </c>
      <c r="Y3" s="125">
        <f>91325/1.05</f>
        <v>86976.190476190473</v>
      </c>
      <c r="Z3" s="147">
        <f t="shared" si="4"/>
        <v>116829.5238095238</v>
      </c>
      <c r="AA3" s="152">
        <f t="shared" si="5"/>
        <v>2.983617841242276</v>
      </c>
      <c r="AB3" s="150">
        <v>106</v>
      </c>
      <c r="AC3" s="2" t="s">
        <v>117</v>
      </c>
      <c r="AD3" s="2">
        <v>370</v>
      </c>
      <c r="AE3" s="211">
        <f>3823+17120+20760+9760</f>
        <v>51463</v>
      </c>
      <c r="AF3" s="124">
        <v>3.03</v>
      </c>
      <c r="AG3" s="125">
        <f>(57343-3391+8960-220)/1.05</f>
        <v>59706.666666666664</v>
      </c>
      <c r="AH3" s="125">
        <f>(11973+53618+65017+18349)/1.05</f>
        <v>141863.80952380953</v>
      </c>
      <c r="AI3" s="147">
        <f t="shared" ref="AI3:AI13" si="6">AG3+AH3</f>
        <v>201570.47619047618</v>
      </c>
      <c r="AJ3" s="152">
        <f t="shared" ref="AJ3:AJ14" si="7">AI3/AE3</f>
        <v>3.9168038433530143</v>
      </c>
    </row>
    <row r="4" spans="1:36" s="123" customFormat="1" ht="28.9" customHeight="1" x14ac:dyDescent="0.2">
      <c r="A4" s="150">
        <v>109</v>
      </c>
      <c r="B4" s="2" t="s">
        <v>118</v>
      </c>
      <c r="C4" s="2">
        <v>190</v>
      </c>
      <c r="D4" s="211">
        <v>48915</v>
      </c>
      <c r="E4" s="222">
        <v>2.81</v>
      </c>
      <c r="F4" s="125">
        <v>29203</v>
      </c>
      <c r="G4" s="125">
        <v>120491</v>
      </c>
      <c r="H4" s="147">
        <f t="shared" si="0"/>
        <v>149694</v>
      </c>
      <c r="I4" s="152">
        <f t="shared" si="1"/>
        <v>3.0602882551364612</v>
      </c>
      <c r="J4" s="150">
        <v>108</v>
      </c>
      <c r="K4" s="2" t="s">
        <v>118</v>
      </c>
      <c r="L4" s="2">
        <v>190</v>
      </c>
      <c r="M4" s="211">
        <v>53345</v>
      </c>
      <c r="N4" s="222">
        <v>2.69</v>
      </c>
      <c r="O4" s="125">
        <f>(32604-1564)/1.05</f>
        <v>29561.90476190476</v>
      </c>
      <c r="P4" s="125">
        <f>128681/1.05</f>
        <v>122553.33333333333</v>
      </c>
      <c r="Q4" s="147">
        <f t="shared" si="2"/>
        <v>152115.23809523808</v>
      </c>
      <c r="R4" s="152">
        <f t="shared" si="3"/>
        <v>2.8515369405799622</v>
      </c>
      <c r="S4" s="150">
        <v>107</v>
      </c>
      <c r="T4" s="2" t="s">
        <v>118</v>
      </c>
      <c r="U4" s="2">
        <v>200</v>
      </c>
      <c r="V4" s="211">
        <v>60561</v>
      </c>
      <c r="W4" s="124">
        <v>3.03</v>
      </c>
      <c r="X4" s="125">
        <f>(32604-1357)/1.05</f>
        <v>29759.047619047618</v>
      </c>
      <c r="Y4" s="125">
        <f>147499/1.05</f>
        <v>140475.23809523808</v>
      </c>
      <c r="Z4" s="147">
        <f t="shared" si="4"/>
        <v>170234.28571428568</v>
      </c>
      <c r="AA4" s="152">
        <f t="shared" si="5"/>
        <v>2.8109556598187888</v>
      </c>
      <c r="AB4" s="150">
        <v>106</v>
      </c>
      <c r="AC4" s="2" t="s">
        <v>118</v>
      </c>
      <c r="AD4" s="2">
        <v>370</v>
      </c>
      <c r="AE4" s="211">
        <f>4634+25400+26280+9800</f>
        <v>66114</v>
      </c>
      <c r="AF4" s="124">
        <v>3.03</v>
      </c>
      <c r="AG4" s="125">
        <f>61753/1.05</f>
        <v>58812.380952380947</v>
      </c>
      <c r="AH4" s="125">
        <f>(14344+78624+81348+18424)/1.05</f>
        <v>183561.90476190476</v>
      </c>
      <c r="AI4" s="147">
        <f t="shared" si="6"/>
        <v>242374.28571428571</v>
      </c>
      <c r="AJ4" s="152">
        <f t="shared" si="7"/>
        <v>3.6660054710694512</v>
      </c>
    </row>
    <row r="5" spans="1:36" s="123" customFormat="1" ht="28.9" customHeight="1" x14ac:dyDescent="0.2">
      <c r="A5" s="150">
        <v>109</v>
      </c>
      <c r="B5" s="2" t="s">
        <v>119</v>
      </c>
      <c r="C5" s="2">
        <v>190</v>
      </c>
      <c r="D5" s="211">
        <v>43801</v>
      </c>
      <c r="E5" s="222">
        <v>5.0389999999999997</v>
      </c>
      <c r="F5" s="125">
        <f>(31711+133)/1.05</f>
        <v>30327.619047619046</v>
      </c>
      <c r="G5" s="125">
        <f>116831/1.05</f>
        <v>111267.61904761904</v>
      </c>
      <c r="H5" s="147">
        <f t="shared" si="0"/>
        <v>141595.23809523808</v>
      </c>
      <c r="I5" s="152">
        <f t="shared" si="1"/>
        <v>3.2326941872386037</v>
      </c>
      <c r="J5" s="150">
        <v>108</v>
      </c>
      <c r="K5" s="2" t="s">
        <v>119</v>
      </c>
      <c r="L5" s="2">
        <v>190</v>
      </c>
      <c r="M5" s="211">
        <v>48357</v>
      </c>
      <c r="N5" s="222">
        <v>2.87</v>
      </c>
      <c r="O5" s="125">
        <f>(32604-1310)/1.05</f>
        <v>29803.809523809523</v>
      </c>
      <c r="P5" s="125">
        <f>122884/1.05</f>
        <v>117032.38095238095</v>
      </c>
      <c r="Q5" s="147">
        <f t="shared" si="2"/>
        <v>146836.19047619047</v>
      </c>
      <c r="R5" s="152">
        <f t="shared" si="3"/>
        <v>3.0365033082323238</v>
      </c>
      <c r="S5" s="150">
        <v>107</v>
      </c>
      <c r="T5" s="2" t="s">
        <v>119</v>
      </c>
      <c r="U5" s="2">
        <v>200</v>
      </c>
      <c r="V5" s="211">
        <v>47354</v>
      </c>
      <c r="W5" s="166">
        <v>3.17</v>
      </c>
      <c r="X5" s="125">
        <f>(32604-1034)/1.05</f>
        <v>30066.666666666664</v>
      </c>
      <c r="Y5" s="125">
        <f>120285/1.05</f>
        <v>114557.14285714286</v>
      </c>
      <c r="Z5" s="147">
        <f t="shared" si="4"/>
        <v>144623.80952380953</v>
      </c>
      <c r="AA5" s="152">
        <f t="shared" si="5"/>
        <v>3.0540991156778632</v>
      </c>
      <c r="AB5" s="150">
        <v>106</v>
      </c>
      <c r="AC5" s="2" t="s">
        <v>119</v>
      </c>
      <c r="AD5" s="2">
        <v>250</v>
      </c>
      <c r="AE5" s="211">
        <f>4955+20080+17160+10000</f>
        <v>52195</v>
      </c>
      <c r="AF5" s="124">
        <v>3.03</v>
      </c>
      <c r="AG5" s="125">
        <f>41725/1.05</f>
        <v>39738.095238095237</v>
      </c>
      <c r="AH5" s="125">
        <f>(15247+61787+52802+18800)/1.05</f>
        <v>141558.09523809524</v>
      </c>
      <c r="AI5" s="147">
        <f t="shared" si="6"/>
        <v>181296.19047619047</v>
      </c>
      <c r="AJ5" s="152">
        <f t="shared" si="7"/>
        <v>3.4734398022069253</v>
      </c>
    </row>
    <row r="6" spans="1:36" s="123" customFormat="1" ht="28.9" customHeight="1" x14ac:dyDescent="0.2">
      <c r="A6" s="150">
        <v>109</v>
      </c>
      <c r="B6" s="2" t="s">
        <v>120</v>
      </c>
      <c r="C6" s="2"/>
      <c r="D6" s="211"/>
      <c r="E6" s="222"/>
      <c r="F6" s="125"/>
      <c r="G6" s="125"/>
      <c r="H6" s="147">
        <f t="shared" si="0"/>
        <v>0</v>
      </c>
      <c r="I6" s="152" t="e">
        <f t="shared" si="1"/>
        <v>#DIV/0!</v>
      </c>
      <c r="J6" s="150">
        <v>108</v>
      </c>
      <c r="K6" s="2" t="s">
        <v>120</v>
      </c>
      <c r="L6" s="2">
        <v>190</v>
      </c>
      <c r="M6" s="211">
        <v>53510</v>
      </c>
      <c r="N6" s="222">
        <v>3.26</v>
      </c>
      <c r="O6" s="125">
        <f>(32604+39)/1.05</f>
        <v>31088.571428571428</v>
      </c>
      <c r="P6" s="125">
        <f>150408/1.05</f>
        <v>143245.71428571429</v>
      </c>
      <c r="Q6" s="147">
        <f t="shared" si="2"/>
        <v>174334.28571428571</v>
      </c>
      <c r="R6" s="152">
        <f t="shared" si="3"/>
        <v>3.2579758122647302</v>
      </c>
      <c r="S6" s="150">
        <v>107</v>
      </c>
      <c r="T6" s="2" t="s">
        <v>120</v>
      </c>
      <c r="U6" s="2">
        <v>200</v>
      </c>
      <c r="V6" s="211">
        <v>65278</v>
      </c>
      <c r="W6" s="166">
        <v>3.17</v>
      </c>
      <c r="X6" s="125">
        <f>(32604-975)/1.05</f>
        <v>30122.857142857141</v>
      </c>
      <c r="Y6" s="125">
        <f>173636/1.05</f>
        <v>165367.61904761905</v>
      </c>
      <c r="Z6" s="147">
        <f t="shared" si="4"/>
        <v>195490.47619047618</v>
      </c>
      <c r="AA6" s="152">
        <f t="shared" si="5"/>
        <v>2.9947375255135911</v>
      </c>
      <c r="AB6" s="150">
        <v>106</v>
      </c>
      <c r="AC6" s="2" t="s">
        <v>120</v>
      </c>
      <c r="AD6" s="2">
        <v>250</v>
      </c>
      <c r="AE6" s="211">
        <v>59375</v>
      </c>
      <c r="AF6" s="124">
        <v>3.03</v>
      </c>
      <c r="AG6" s="125">
        <f>(41725-307)/1.05</f>
        <v>39445.714285714283</v>
      </c>
      <c r="AH6" s="125">
        <f>149801/1.05</f>
        <v>142667.61904761905</v>
      </c>
      <c r="AI6" s="147">
        <f t="shared" si="6"/>
        <v>182113.33333333334</v>
      </c>
      <c r="AJ6" s="152">
        <f t="shared" si="7"/>
        <v>3.0671719298245614</v>
      </c>
    </row>
    <row r="7" spans="1:36" s="123" customFormat="1" ht="28.9" customHeight="1" x14ac:dyDescent="0.2">
      <c r="A7" s="150">
        <v>109</v>
      </c>
      <c r="B7" s="167" t="s">
        <v>121</v>
      </c>
      <c r="C7" s="167"/>
      <c r="D7" s="212"/>
      <c r="E7" s="193"/>
      <c r="F7" s="169"/>
      <c r="G7" s="169"/>
      <c r="H7" s="170">
        <f t="shared" si="0"/>
        <v>0</v>
      </c>
      <c r="I7" s="171" t="e">
        <f t="shared" si="1"/>
        <v>#DIV/0!</v>
      </c>
      <c r="J7" s="150">
        <v>108</v>
      </c>
      <c r="K7" s="167" t="s">
        <v>121</v>
      </c>
      <c r="L7" s="167">
        <v>190</v>
      </c>
      <c r="M7" s="212">
        <v>53963</v>
      </c>
      <c r="N7" s="193">
        <v>2.96</v>
      </c>
      <c r="O7" s="169">
        <f>(42484-1167+7155)/1.05</f>
        <v>46163.809523809519</v>
      </c>
      <c r="P7" s="169">
        <f>142778/1.05</f>
        <v>135979.0476190476</v>
      </c>
      <c r="Q7" s="170">
        <f t="shared" si="2"/>
        <v>182142.85714285713</v>
      </c>
      <c r="R7" s="171">
        <f t="shared" si="3"/>
        <v>3.3753285981664685</v>
      </c>
      <c r="S7" s="150">
        <v>107</v>
      </c>
      <c r="T7" s="167" t="s">
        <v>121</v>
      </c>
      <c r="U7" s="167">
        <v>200</v>
      </c>
      <c r="V7" s="212">
        <v>55977</v>
      </c>
      <c r="W7" s="193">
        <v>3.29</v>
      </c>
      <c r="X7" s="169">
        <f>(43680-790)/1.05</f>
        <v>40847.619047619046</v>
      </c>
      <c r="Y7" s="169">
        <f>160667/1.05</f>
        <v>153016.19047619047</v>
      </c>
      <c r="Z7" s="170">
        <f t="shared" si="4"/>
        <v>193863.80952380953</v>
      </c>
      <c r="AA7" s="171">
        <f t="shared" si="5"/>
        <v>3.4632761584902645</v>
      </c>
      <c r="AB7" s="150">
        <v>106</v>
      </c>
      <c r="AC7" s="167" t="s">
        <v>121</v>
      </c>
      <c r="AD7" s="167">
        <v>250</v>
      </c>
      <c r="AE7" s="212">
        <v>71771</v>
      </c>
      <c r="AF7" s="168">
        <v>3.13</v>
      </c>
      <c r="AG7" s="169">
        <f>(55900-1243)/1.05</f>
        <v>52054.28571428571</v>
      </c>
      <c r="AH7" s="169">
        <f>190741/1.05</f>
        <v>181658.09523809524</v>
      </c>
      <c r="AI7" s="170">
        <f t="shared" si="6"/>
        <v>233712.38095238095</v>
      </c>
      <c r="AJ7" s="171">
        <f t="shared" si="7"/>
        <v>3.2563623323122286</v>
      </c>
    </row>
    <row r="8" spans="1:36" s="123" customFormat="1" ht="28.9" customHeight="1" x14ac:dyDescent="0.2">
      <c r="A8" s="150">
        <v>109</v>
      </c>
      <c r="B8" s="167" t="s">
        <v>122</v>
      </c>
      <c r="C8" s="167"/>
      <c r="D8" s="212"/>
      <c r="E8" s="193"/>
      <c r="F8" s="169"/>
      <c r="G8" s="169"/>
      <c r="H8" s="170">
        <f t="shared" si="0"/>
        <v>0</v>
      </c>
      <c r="I8" s="171" t="e">
        <f t="shared" si="1"/>
        <v>#DIV/0!</v>
      </c>
      <c r="J8" s="150">
        <v>108</v>
      </c>
      <c r="K8" s="167" t="s">
        <v>122</v>
      </c>
      <c r="L8" s="167">
        <v>190</v>
      </c>
      <c r="M8" s="212">
        <v>60083</v>
      </c>
      <c r="N8" s="193">
        <v>3.18</v>
      </c>
      <c r="O8" s="169">
        <f>(42484-1305+894)/1.05</f>
        <v>40069.523809523809</v>
      </c>
      <c r="P8" s="169">
        <f>170137/1.05</f>
        <v>162035.23809523808</v>
      </c>
      <c r="Q8" s="170">
        <f t="shared" si="2"/>
        <v>202104.76190476189</v>
      </c>
      <c r="R8" s="171">
        <f t="shared" si="3"/>
        <v>3.3637594977741108</v>
      </c>
      <c r="S8" s="150">
        <v>107</v>
      </c>
      <c r="T8" s="167" t="s">
        <v>122</v>
      </c>
      <c r="U8" s="167">
        <v>200</v>
      </c>
      <c r="V8" s="212">
        <v>63684</v>
      </c>
      <c r="W8" s="168">
        <v>2.94</v>
      </c>
      <c r="X8" s="169">
        <v>40790</v>
      </c>
      <c r="Y8" s="169">
        <v>162481</v>
      </c>
      <c r="Z8" s="170">
        <f t="shared" si="4"/>
        <v>203271</v>
      </c>
      <c r="AA8" s="171">
        <f t="shared" si="5"/>
        <v>3.1918692293197664</v>
      </c>
      <c r="AB8" s="150">
        <v>106</v>
      </c>
      <c r="AC8" s="167" t="s">
        <v>122</v>
      </c>
      <c r="AD8" s="167">
        <v>250</v>
      </c>
      <c r="AE8" s="212">
        <v>62269</v>
      </c>
      <c r="AF8" s="168">
        <v>3.13</v>
      </c>
      <c r="AG8" s="169">
        <f>(55900-927)/1.05</f>
        <v>52355.238095238092</v>
      </c>
      <c r="AH8" s="169">
        <f>164545/1.05</f>
        <v>156709.52380952382</v>
      </c>
      <c r="AI8" s="170">
        <f t="shared" si="6"/>
        <v>209064.76190476189</v>
      </c>
      <c r="AJ8" s="171">
        <f t="shared" si="7"/>
        <v>3.3574453083357993</v>
      </c>
    </row>
    <row r="9" spans="1:36" s="123" customFormat="1" ht="28.9" customHeight="1" x14ac:dyDescent="0.2">
      <c r="A9" s="150">
        <v>109</v>
      </c>
      <c r="B9" s="167" t="s">
        <v>123</v>
      </c>
      <c r="C9" s="167"/>
      <c r="D9" s="212"/>
      <c r="E9" s="193"/>
      <c r="F9" s="169"/>
      <c r="G9" s="169"/>
      <c r="H9" s="170">
        <f t="shared" si="0"/>
        <v>0</v>
      </c>
      <c r="I9" s="171" t="e">
        <f t="shared" si="1"/>
        <v>#DIV/0!</v>
      </c>
      <c r="J9" s="150">
        <v>108</v>
      </c>
      <c r="K9" s="167" t="s">
        <v>123</v>
      </c>
      <c r="L9" s="167">
        <v>190</v>
      </c>
      <c r="M9" s="212">
        <v>55215</v>
      </c>
      <c r="N9" s="193">
        <v>3.43</v>
      </c>
      <c r="O9" s="169">
        <f>(42484-1260)/1.05</f>
        <v>39260.952380952382</v>
      </c>
      <c r="P9" s="169">
        <f>160890/1.05</f>
        <v>153228.57142857142</v>
      </c>
      <c r="Q9" s="170">
        <f t="shared" si="2"/>
        <v>192489.52380952379</v>
      </c>
      <c r="R9" s="171">
        <f t="shared" si="3"/>
        <v>3.4861817225305405</v>
      </c>
      <c r="S9" s="150">
        <v>107</v>
      </c>
      <c r="T9" s="167" t="s">
        <v>123</v>
      </c>
      <c r="U9" s="167">
        <v>200</v>
      </c>
      <c r="V9" s="212">
        <v>52487</v>
      </c>
      <c r="W9" s="168">
        <v>3.54</v>
      </c>
      <c r="X9" s="169">
        <f>(43680-1041)/1.05</f>
        <v>40608.571428571428</v>
      </c>
      <c r="Y9" s="169">
        <f>152286/1.05</f>
        <v>145034.28571428571</v>
      </c>
      <c r="Z9" s="170">
        <f t="shared" si="4"/>
        <v>185642.85714285713</v>
      </c>
      <c r="AA9" s="171">
        <f t="shared" si="5"/>
        <v>3.5369302330645138</v>
      </c>
      <c r="AB9" s="150">
        <v>106</v>
      </c>
      <c r="AC9" s="167" t="s">
        <v>123</v>
      </c>
      <c r="AD9" s="167">
        <v>250</v>
      </c>
      <c r="AE9" s="212">
        <v>56730</v>
      </c>
      <c r="AF9" s="168">
        <v>3.13</v>
      </c>
      <c r="AG9" s="169">
        <f>(55900-671)/1.05</f>
        <v>52599.047619047618</v>
      </c>
      <c r="AH9" s="169">
        <f>159729/1.05</f>
        <v>152122.85714285713</v>
      </c>
      <c r="AI9" s="170">
        <f t="shared" si="6"/>
        <v>204721.90476190473</v>
      </c>
      <c r="AJ9" s="171">
        <f t="shared" si="7"/>
        <v>3.6087062358876207</v>
      </c>
    </row>
    <row r="10" spans="1:36" s="123" customFormat="1" ht="28.9" customHeight="1" x14ac:dyDescent="0.2">
      <c r="A10" s="150">
        <v>109</v>
      </c>
      <c r="B10" s="167" t="s">
        <v>124</v>
      </c>
      <c r="C10" s="167"/>
      <c r="D10" s="212"/>
      <c r="E10" s="193"/>
      <c r="F10" s="169"/>
      <c r="G10" s="169"/>
      <c r="H10" s="170">
        <f t="shared" si="0"/>
        <v>0</v>
      </c>
      <c r="I10" s="171" t="e">
        <f t="shared" si="1"/>
        <v>#DIV/0!</v>
      </c>
      <c r="J10" s="150">
        <v>108</v>
      </c>
      <c r="K10" s="167" t="s">
        <v>124</v>
      </c>
      <c r="L10" s="167">
        <v>190</v>
      </c>
      <c r="M10" s="212">
        <v>49638</v>
      </c>
      <c r="N10" s="193">
        <v>2.84</v>
      </c>
      <c r="O10" s="169">
        <f>(42484-1120+1342)/1.05</f>
        <v>40672.380952380954</v>
      </c>
      <c r="P10" s="169">
        <f>124671/1.05</f>
        <v>118734.28571428571</v>
      </c>
      <c r="Q10" s="170">
        <f t="shared" si="2"/>
        <v>159406.66666666666</v>
      </c>
      <c r="R10" s="171">
        <f t="shared" si="3"/>
        <v>3.2113837516956094</v>
      </c>
      <c r="S10" s="150">
        <v>107</v>
      </c>
      <c r="T10" s="167" t="s">
        <v>124</v>
      </c>
      <c r="U10" s="167">
        <v>200</v>
      </c>
      <c r="V10" s="212">
        <v>48320</v>
      </c>
      <c r="W10" s="168">
        <v>3.46</v>
      </c>
      <c r="X10" s="169">
        <f>(43680-1178)/1.05</f>
        <v>40478.095238095237</v>
      </c>
      <c r="Y10" s="169">
        <f>113152/1.05</f>
        <v>107763.80952380951</v>
      </c>
      <c r="Z10" s="170">
        <f t="shared" si="4"/>
        <v>148241.90476190473</v>
      </c>
      <c r="AA10" s="171">
        <f t="shared" si="5"/>
        <v>3.0679202144433928</v>
      </c>
      <c r="AB10" s="150">
        <v>106</v>
      </c>
      <c r="AC10" s="167" t="s">
        <v>124</v>
      </c>
      <c r="AD10" s="167">
        <v>250</v>
      </c>
      <c r="AE10" s="212">
        <v>56951</v>
      </c>
      <c r="AF10" s="168">
        <v>3.13</v>
      </c>
      <c r="AG10" s="169">
        <f>(55667-875)/1.05</f>
        <v>52182.857142857138</v>
      </c>
      <c r="AH10" s="169">
        <f>149679/1.05</f>
        <v>142551.42857142858</v>
      </c>
      <c r="AI10" s="170">
        <f t="shared" si="6"/>
        <v>194734.28571428571</v>
      </c>
      <c r="AJ10" s="171">
        <f t="shared" si="7"/>
        <v>3.4193304018241246</v>
      </c>
    </row>
    <row r="11" spans="1:36" s="123" customFormat="1" ht="28.9" customHeight="1" x14ac:dyDescent="0.2">
      <c r="A11" s="150">
        <v>109</v>
      </c>
      <c r="B11" s="2" t="s">
        <v>125</v>
      </c>
      <c r="C11" s="2"/>
      <c r="D11" s="211"/>
      <c r="E11" s="222"/>
      <c r="F11" s="125"/>
      <c r="G11" s="125"/>
      <c r="H11" s="147">
        <f t="shared" si="0"/>
        <v>0</v>
      </c>
      <c r="I11" s="152" t="e">
        <f t="shared" si="1"/>
        <v>#DIV/0!</v>
      </c>
      <c r="J11" s="150">
        <v>108</v>
      </c>
      <c r="K11" s="2" t="s">
        <v>125</v>
      </c>
      <c r="L11" s="2">
        <v>190</v>
      </c>
      <c r="M11" s="211">
        <v>44246</v>
      </c>
      <c r="N11" s="222">
        <v>2.93</v>
      </c>
      <c r="O11" s="125">
        <f>(31711-1516+1001)/1.05</f>
        <v>29710.476190476191</v>
      </c>
      <c r="P11" s="125">
        <f>112980/1.05</f>
        <v>107600</v>
      </c>
      <c r="Q11" s="147">
        <f t="shared" ref="Q11" si="8">O11+P11</f>
        <v>137310.47619047618</v>
      </c>
      <c r="R11" s="152">
        <f t="shared" ref="R11" si="9">Q11/M11</f>
        <v>3.1033421369270937</v>
      </c>
      <c r="S11" s="150">
        <v>107</v>
      </c>
      <c r="T11" s="2" t="s">
        <v>125</v>
      </c>
      <c r="U11" s="2" t="s">
        <v>146</v>
      </c>
      <c r="V11" s="211">
        <v>54050</v>
      </c>
      <c r="W11" s="124">
        <v>2.9849999999999999</v>
      </c>
      <c r="X11" s="125">
        <f>(32604-1631)/1.05</f>
        <v>29498.095238095237</v>
      </c>
      <c r="Y11" s="125">
        <f>147890/1.05</f>
        <v>140847.61904761905</v>
      </c>
      <c r="Z11" s="147">
        <f>X11+Y11</f>
        <v>170345.71428571429</v>
      </c>
      <c r="AA11" s="152">
        <f>Z11/V11</f>
        <v>3.1516320866922163</v>
      </c>
      <c r="AB11" s="150">
        <v>106</v>
      </c>
      <c r="AC11" s="2" t="s">
        <v>125</v>
      </c>
      <c r="AD11" s="2">
        <v>250</v>
      </c>
      <c r="AE11" s="211">
        <v>55548</v>
      </c>
      <c r="AF11" s="124">
        <v>3.03</v>
      </c>
      <c r="AG11" s="125">
        <f>(32604-1102)/1.05</f>
        <v>30001.90476190476</v>
      </c>
      <c r="AH11" s="125">
        <f>132586/1.05</f>
        <v>126272.38095238095</v>
      </c>
      <c r="AI11" s="147">
        <f t="shared" si="6"/>
        <v>156274.28571428571</v>
      </c>
      <c r="AJ11" s="152">
        <f t="shared" si="7"/>
        <v>2.8133197543437336</v>
      </c>
    </row>
    <row r="12" spans="1:36" s="123" customFormat="1" ht="28.9" customHeight="1" x14ac:dyDescent="0.2">
      <c r="A12" s="150">
        <v>109</v>
      </c>
      <c r="B12" s="2" t="s">
        <v>126</v>
      </c>
      <c r="C12" s="2"/>
      <c r="D12" s="211"/>
      <c r="E12" s="222"/>
      <c r="F12" s="125"/>
      <c r="G12" s="125"/>
      <c r="H12" s="147">
        <f t="shared" si="0"/>
        <v>0</v>
      </c>
      <c r="I12" s="152" t="e">
        <f t="shared" si="1"/>
        <v>#DIV/0!</v>
      </c>
      <c r="J12" s="150">
        <v>108</v>
      </c>
      <c r="K12" s="2" t="s">
        <v>126</v>
      </c>
      <c r="L12" s="2">
        <v>190</v>
      </c>
      <c r="M12" s="211">
        <v>41442</v>
      </c>
      <c r="N12" s="222">
        <v>3.23</v>
      </c>
      <c r="O12" s="125">
        <f>(31711-1753)/1.05</f>
        <v>28531.428571428569</v>
      </c>
      <c r="P12" s="125">
        <f>110933/1.05</f>
        <v>105650.47619047618</v>
      </c>
      <c r="Q12" s="147">
        <f t="shared" ref="Q12" si="10">O12+P12</f>
        <v>134181.90476190476</v>
      </c>
      <c r="R12" s="152">
        <f t="shared" ref="R12" si="11">Q12/M12</f>
        <v>3.2378240616260019</v>
      </c>
      <c r="S12" s="150">
        <v>107</v>
      </c>
      <c r="T12" s="2" t="s">
        <v>126</v>
      </c>
      <c r="U12" s="2">
        <v>200</v>
      </c>
      <c r="V12" s="211">
        <v>43538</v>
      </c>
      <c r="W12" s="124">
        <v>2.98</v>
      </c>
      <c r="X12" s="125">
        <f>(32604-1473)/1.05</f>
        <v>29648.571428571428</v>
      </c>
      <c r="Y12" s="125">
        <f>114538/1.05</f>
        <v>109083.80952380951</v>
      </c>
      <c r="Z12" s="147">
        <f>X12+Y12</f>
        <v>138732.38095238095</v>
      </c>
      <c r="AA12" s="152">
        <f>Z12/V12</f>
        <v>3.1864665568556423</v>
      </c>
      <c r="AB12" s="150">
        <v>106</v>
      </c>
      <c r="AC12" s="2" t="s">
        <v>126</v>
      </c>
      <c r="AD12" s="2">
        <v>200</v>
      </c>
      <c r="AE12" s="211">
        <v>53126</v>
      </c>
      <c r="AF12" s="124">
        <v>3.03</v>
      </c>
      <c r="AG12" s="125">
        <f>(32604-1573)/1.05</f>
        <v>29553.333333333332</v>
      </c>
      <c r="AH12" s="125">
        <f>131629/1.05</f>
        <v>125360.95238095238</v>
      </c>
      <c r="AI12" s="147">
        <f t="shared" si="6"/>
        <v>154914.28571428571</v>
      </c>
      <c r="AJ12" s="152">
        <f t="shared" si="7"/>
        <v>2.9159787244340944</v>
      </c>
    </row>
    <row r="13" spans="1:36" s="123" customFormat="1" ht="28.9" customHeight="1" thickBot="1" x14ac:dyDescent="0.25">
      <c r="A13" s="172">
        <v>109</v>
      </c>
      <c r="B13" s="173" t="s">
        <v>127</v>
      </c>
      <c r="C13" s="173"/>
      <c r="D13" s="213"/>
      <c r="E13" s="223"/>
      <c r="F13" s="175"/>
      <c r="G13" s="175"/>
      <c r="H13" s="176">
        <v>132785</v>
      </c>
      <c r="I13" s="177">
        <v>3.01</v>
      </c>
      <c r="J13" s="172">
        <v>108</v>
      </c>
      <c r="K13" s="173" t="s">
        <v>127</v>
      </c>
      <c r="L13" s="173">
        <v>190</v>
      </c>
      <c r="M13" s="213">
        <v>44128</v>
      </c>
      <c r="N13" s="223">
        <v>2.8</v>
      </c>
      <c r="O13" s="175">
        <f>(31711-1793)/1.05</f>
        <v>28493.333333333332</v>
      </c>
      <c r="P13" s="175">
        <f>109506/1.05</f>
        <v>104291.42857142857</v>
      </c>
      <c r="Q13" s="176">
        <v>132785</v>
      </c>
      <c r="R13" s="177">
        <v>3.01</v>
      </c>
      <c r="S13" s="172">
        <v>107</v>
      </c>
      <c r="T13" s="173" t="s">
        <v>127</v>
      </c>
      <c r="U13" s="173">
        <v>200</v>
      </c>
      <c r="V13" s="213">
        <v>51962</v>
      </c>
      <c r="W13" s="174">
        <v>2.72</v>
      </c>
      <c r="X13" s="175">
        <f>(32604-1569)/1.05</f>
        <v>29557.142857142855</v>
      </c>
      <c r="Y13" s="175">
        <f>149283/1.05</f>
        <v>142174.28571428571</v>
      </c>
      <c r="Z13" s="228">
        <f>X13+Y13</f>
        <v>171731.42857142858</v>
      </c>
      <c r="AA13" s="229">
        <f>Z13/V13</f>
        <v>3.3049426229057501</v>
      </c>
      <c r="AB13" s="172">
        <v>106</v>
      </c>
      <c r="AC13" s="173" t="s">
        <v>127</v>
      </c>
      <c r="AD13" s="173">
        <v>200</v>
      </c>
      <c r="AE13" s="213">
        <v>54513</v>
      </c>
      <c r="AF13" s="174">
        <v>3.03</v>
      </c>
      <c r="AG13" s="175">
        <f>(32604-1552)/1.05</f>
        <v>29573.333333333332</v>
      </c>
      <c r="AH13" s="175">
        <f>118171/1.05</f>
        <v>112543.80952380951</v>
      </c>
      <c r="AI13" s="176">
        <f t="shared" si="6"/>
        <v>142117.14285714284</v>
      </c>
      <c r="AJ13" s="177">
        <f t="shared" si="7"/>
        <v>2.6070321365021707</v>
      </c>
    </row>
    <row r="14" spans="1:36" s="123" customFormat="1" ht="25.15" customHeight="1" x14ac:dyDescent="0.2">
      <c r="A14" s="178">
        <v>109</v>
      </c>
      <c r="B14" s="179" t="s">
        <v>132</v>
      </c>
      <c r="C14" s="180"/>
      <c r="D14" s="214">
        <f>SUM(D2:D13)</f>
        <v>171071</v>
      </c>
      <c r="E14" s="180"/>
      <c r="F14" s="181"/>
      <c r="G14" s="181"/>
      <c r="H14" s="182">
        <f>SUM(H2:H13)</f>
        <v>672042.47619047621</v>
      </c>
      <c r="I14" s="183">
        <f>H14/D14</f>
        <v>3.9284418527422895</v>
      </c>
      <c r="J14" s="178">
        <v>108</v>
      </c>
      <c r="K14" s="179" t="s">
        <v>132</v>
      </c>
      <c r="L14" s="180"/>
      <c r="M14" s="214">
        <f>SUM(M2:M13)</f>
        <v>590153</v>
      </c>
      <c r="N14" s="180"/>
      <c r="O14" s="181"/>
      <c r="P14" s="181"/>
      <c r="Q14" s="182">
        <f>SUM(Q2:Q13)</f>
        <v>1881618.3333333333</v>
      </c>
      <c r="R14" s="183">
        <f>Q14/M14</f>
        <v>3.1883568046478343</v>
      </c>
      <c r="S14" s="178">
        <v>107</v>
      </c>
      <c r="T14" s="179" t="s">
        <v>132</v>
      </c>
      <c r="U14" s="180"/>
      <c r="V14" s="214">
        <f>SUM(V2:V13)</f>
        <v>633390</v>
      </c>
      <c r="W14" s="180"/>
      <c r="X14" s="181"/>
      <c r="Y14" s="181"/>
      <c r="Z14" s="182">
        <f>SUM(Z2:Z13)</f>
        <v>1973834.8095238092</v>
      </c>
      <c r="AA14" s="183">
        <f>Z14/V14</f>
        <v>3.1163024511340711</v>
      </c>
      <c r="AB14" s="178">
        <v>106</v>
      </c>
      <c r="AC14" s="179" t="s">
        <v>132</v>
      </c>
      <c r="AD14" s="180"/>
      <c r="AE14" s="214">
        <f>SUM(AE2:AE13)</f>
        <v>683856</v>
      </c>
      <c r="AF14" s="180"/>
      <c r="AG14" s="181"/>
      <c r="AH14" s="181"/>
      <c r="AI14" s="182">
        <f>SUM(AI2:AI13)</f>
        <v>2271061.9047619049</v>
      </c>
      <c r="AJ14" s="183">
        <f t="shared" si="7"/>
        <v>3.3209650931802965</v>
      </c>
    </row>
    <row r="15" spans="1:36" s="123" customFormat="1" ht="25.15" customHeight="1" thickBot="1" x14ac:dyDescent="0.25">
      <c r="A15" s="184">
        <v>109</v>
      </c>
      <c r="B15" s="185" t="s">
        <v>134</v>
      </c>
      <c r="C15" s="186"/>
      <c r="D15" s="215">
        <f>AVERAGE(D3:D13)</f>
        <v>44891</v>
      </c>
      <c r="E15" s="186"/>
      <c r="F15" s="187"/>
      <c r="G15" s="187"/>
      <c r="H15" s="188">
        <f>AVERAGE(H3:H13)</f>
        <v>50987.930735930735</v>
      </c>
      <c r="I15" s="189"/>
      <c r="J15" s="184">
        <v>108</v>
      </c>
      <c r="K15" s="185" t="s">
        <v>134</v>
      </c>
      <c r="L15" s="186"/>
      <c r="M15" s="215">
        <f>AVERAGE(M3:M13)</f>
        <v>49080.727272727272</v>
      </c>
      <c r="N15" s="186"/>
      <c r="O15" s="187"/>
      <c r="P15" s="187"/>
      <c r="Q15" s="188">
        <f>AVERAGE(Q3:Q13)</f>
        <v>157233.00865800868</v>
      </c>
      <c r="R15" s="189"/>
      <c r="S15" s="184">
        <v>107</v>
      </c>
      <c r="T15" s="185" t="s">
        <v>134</v>
      </c>
      <c r="U15" s="186"/>
      <c r="V15" s="215">
        <f>V14/12</f>
        <v>52782.5</v>
      </c>
      <c r="W15" s="186"/>
      <c r="X15" s="187"/>
      <c r="Y15" s="187"/>
      <c r="Z15" s="188">
        <f>Z14/12</f>
        <v>164486.23412698411</v>
      </c>
      <c r="AA15" s="189"/>
      <c r="AB15" s="184">
        <v>106</v>
      </c>
      <c r="AC15" s="185" t="s">
        <v>134</v>
      </c>
      <c r="AD15" s="186"/>
      <c r="AE15" s="215">
        <f>AE14/12</f>
        <v>56988</v>
      </c>
      <c r="AF15" s="186"/>
      <c r="AG15" s="187"/>
      <c r="AH15" s="187"/>
      <c r="AI15" s="188">
        <f>AI14/12</f>
        <v>189255.15873015873</v>
      </c>
      <c r="AJ15" s="189"/>
    </row>
    <row r="16" spans="1:36" s="123" customFormat="1" ht="25.15" customHeight="1" x14ac:dyDescent="0.2">
      <c r="D16" s="233">
        <f>D15-M15</f>
        <v>-4189.7272727272721</v>
      </c>
      <c r="E16" s="224"/>
      <c r="G16" s="230" t="s">
        <v>140</v>
      </c>
      <c r="H16" s="234">
        <f>H15-Q15</f>
        <v>-106245.07792207794</v>
      </c>
      <c r="M16" s="233">
        <f>M15-V15</f>
        <v>-3701.7727272727279</v>
      </c>
      <c r="N16" s="224"/>
      <c r="P16" s="230" t="s">
        <v>140</v>
      </c>
      <c r="Q16" s="234">
        <f>Q15-Z15</f>
        <v>-7253.2254689754336</v>
      </c>
      <c r="V16" s="216"/>
      <c r="Y16" s="230" t="s">
        <v>139</v>
      </c>
      <c r="Z16" s="231">
        <f>Z15-AI15</f>
        <v>-24768.924603174615</v>
      </c>
      <c r="AE16" s="216"/>
    </row>
    <row r="17" spans="2:31" s="123" customFormat="1" ht="25.15" customHeight="1" x14ac:dyDescent="0.2">
      <c r="D17" s="216"/>
      <c r="E17" s="224"/>
      <c r="M17" s="216"/>
      <c r="N17" s="224"/>
      <c r="V17" s="216"/>
      <c r="AE17" s="216"/>
    </row>
    <row r="18" spans="2:31" s="123" customFormat="1" ht="25.15" customHeight="1" x14ac:dyDescent="0.2">
      <c r="D18" s="216"/>
      <c r="E18" s="224"/>
      <c r="M18" s="216"/>
      <c r="N18" s="224"/>
      <c r="V18" s="216"/>
      <c r="AE18" s="216"/>
    </row>
    <row r="19" spans="2:31" s="123" customFormat="1" ht="25.15" customHeight="1" x14ac:dyDescent="0.2">
      <c r="D19" s="216"/>
      <c r="E19" s="224"/>
      <c r="M19" s="216"/>
      <c r="N19" s="224"/>
      <c r="V19" s="216"/>
      <c r="AE19" s="216"/>
    </row>
    <row r="20" spans="2:31" s="123" customFormat="1" ht="25.15" customHeight="1" x14ac:dyDescent="0.2">
      <c r="D20" s="216"/>
      <c r="E20" s="224"/>
      <c r="M20" s="216"/>
      <c r="N20" s="224"/>
      <c r="V20" s="216"/>
      <c r="AE20" s="216"/>
    </row>
    <row r="21" spans="2:31" s="123" customFormat="1" ht="25.15" customHeight="1" x14ac:dyDescent="0.2">
      <c r="D21" s="216"/>
      <c r="E21" s="224"/>
      <c r="M21" s="216"/>
      <c r="N21" s="224"/>
      <c r="V21" s="216"/>
      <c r="AE21" s="216"/>
    </row>
    <row r="22" spans="2:31" s="123" customFormat="1" ht="25.15" customHeight="1" x14ac:dyDescent="0.2">
      <c r="D22" s="216"/>
      <c r="E22" s="224"/>
      <c r="M22" s="216"/>
      <c r="N22" s="224"/>
      <c r="V22" s="216"/>
      <c r="AE22" s="216"/>
    </row>
    <row r="23" spans="2:31" s="123" customFormat="1" ht="25.15" customHeight="1" x14ac:dyDescent="0.2">
      <c r="D23" s="216"/>
      <c r="E23" s="224"/>
      <c r="M23" s="216"/>
      <c r="N23" s="224"/>
      <c r="V23" s="216"/>
      <c r="AE23" s="216"/>
    </row>
    <row r="24" spans="2:31" s="123" customFormat="1" ht="25.15" customHeight="1" x14ac:dyDescent="0.2">
      <c r="D24" s="216"/>
      <c r="E24" s="224"/>
      <c r="M24" s="216"/>
      <c r="N24" s="224"/>
      <c r="V24" s="216"/>
      <c r="AE24" s="216"/>
    </row>
    <row r="25" spans="2:31" s="123" customFormat="1" ht="25.15" customHeight="1" x14ac:dyDescent="0.2">
      <c r="D25" s="216"/>
      <c r="E25" s="224"/>
      <c r="M25" s="216"/>
      <c r="N25" s="224"/>
      <c r="V25" s="216"/>
      <c r="AE25" s="216"/>
    </row>
    <row r="26" spans="2:31" s="123" customFormat="1" ht="25.15" customHeight="1" x14ac:dyDescent="0.2">
      <c r="D26" s="216"/>
      <c r="E26" s="224"/>
      <c r="M26" s="216"/>
      <c r="N26" s="224"/>
      <c r="V26" s="216"/>
      <c r="AE26" s="216"/>
    </row>
    <row r="27" spans="2:31" s="123" customFormat="1" ht="25.15" customHeight="1" x14ac:dyDescent="0.2">
      <c r="D27" s="216"/>
      <c r="E27" s="224"/>
      <c r="M27" s="216"/>
      <c r="N27" s="224"/>
      <c r="V27" s="216"/>
      <c r="AE27" s="216"/>
    </row>
    <row r="28" spans="2:31" s="144" customFormat="1" ht="25.15" customHeight="1" x14ac:dyDescent="0.2">
      <c r="D28" s="217"/>
      <c r="E28" s="225"/>
      <c r="M28" s="217"/>
      <c r="N28" s="225"/>
      <c r="V28" s="217"/>
      <c r="AE28" s="217"/>
    </row>
    <row r="29" spans="2:31" s="144" customFormat="1" ht="25.15" customHeight="1" x14ac:dyDescent="0.2">
      <c r="D29" s="217"/>
      <c r="E29" s="225"/>
      <c r="M29" s="217"/>
      <c r="N29" s="225"/>
      <c r="V29" s="217"/>
      <c r="AE29" s="217"/>
    </row>
    <row r="30" spans="2:31" s="123" customFormat="1" ht="25.15" customHeight="1" x14ac:dyDescent="0.2">
      <c r="B30" s="126"/>
      <c r="C30" s="126"/>
      <c r="D30" s="219"/>
      <c r="E30" s="226"/>
      <c r="F30" s="128"/>
      <c r="G30" s="128"/>
      <c r="H30" s="148"/>
      <c r="I30" s="143"/>
      <c r="K30" s="126"/>
      <c r="L30" s="126"/>
      <c r="M30" s="219"/>
      <c r="N30" s="226"/>
      <c r="O30" s="128"/>
      <c r="P30" s="128"/>
      <c r="Q30" s="148"/>
      <c r="R30" s="143"/>
      <c r="T30" s="126"/>
      <c r="U30" s="126"/>
      <c r="V30" s="219"/>
      <c r="W30" s="127"/>
      <c r="X30" s="128"/>
      <c r="Y30" s="128"/>
      <c r="Z30" s="148"/>
      <c r="AA30" s="143"/>
      <c r="AE30" s="216"/>
    </row>
    <row r="31" spans="2:31" s="123" customFormat="1" ht="25.15" customHeight="1" x14ac:dyDescent="0.2">
      <c r="B31" s="126"/>
      <c r="C31" s="126"/>
      <c r="D31" s="219"/>
      <c r="E31" s="226"/>
      <c r="F31" s="128"/>
      <c r="G31" s="128"/>
      <c r="H31" s="148"/>
      <c r="I31" s="143"/>
      <c r="K31" s="126"/>
      <c r="L31" s="126"/>
      <c r="M31" s="219"/>
      <c r="N31" s="226"/>
      <c r="O31" s="128"/>
      <c r="P31" s="128"/>
      <c r="Q31" s="148"/>
      <c r="R31" s="143"/>
      <c r="T31" s="126"/>
      <c r="U31" s="126"/>
      <c r="V31" s="219"/>
      <c r="W31" s="127"/>
      <c r="X31" s="128"/>
      <c r="Y31" s="128"/>
      <c r="Z31" s="148"/>
      <c r="AA31" s="143"/>
      <c r="AE31" s="216"/>
    </row>
    <row r="32" spans="2:31" s="123" customFormat="1" ht="25.15" customHeight="1" x14ac:dyDescent="0.2">
      <c r="B32" s="126"/>
      <c r="C32" s="126"/>
      <c r="D32" s="219"/>
      <c r="E32" s="226"/>
      <c r="F32" s="128"/>
      <c r="G32" s="128"/>
      <c r="H32" s="148"/>
      <c r="I32" s="143"/>
      <c r="K32" s="126"/>
      <c r="L32" s="126"/>
      <c r="M32" s="219"/>
      <c r="N32" s="226"/>
      <c r="O32" s="128"/>
      <c r="P32" s="128"/>
      <c r="Q32" s="148"/>
      <c r="R32" s="143"/>
      <c r="T32" s="126"/>
      <c r="U32" s="126"/>
      <c r="V32" s="219"/>
      <c r="W32" s="127"/>
      <c r="X32" s="128"/>
      <c r="Y32" s="128"/>
      <c r="Z32" s="148"/>
      <c r="AA32" s="143"/>
      <c r="AE32" s="216"/>
    </row>
    <row r="33" spans="2:31" s="123" customFormat="1" ht="25.15" customHeight="1" x14ac:dyDescent="0.2">
      <c r="B33" s="126"/>
      <c r="C33" s="126"/>
      <c r="D33" s="219"/>
      <c r="E33" s="226"/>
      <c r="F33" s="128"/>
      <c r="G33" s="128"/>
      <c r="H33" s="148"/>
      <c r="I33" s="143"/>
      <c r="K33" s="126"/>
      <c r="L33" s="126"/>
      <c r="M33" s="219"/>
      <c r="N33" s="226"/>
      <c r="O33" s="128"/>
      <c r="P33" s="128"/>
      <c r="Q33" s="148"/>
      <c r="R33" s="143"/>
      <c r="T33" s="126"/>
      <c r="U33" s="126"/>
      <c r="V33" s="219"/>
      <c r="W33" s="127"/>
      <c r="X33" s="128"/>
      <c r="Y33" s="128"/>
      <c r="Z33" s="148"/>
      <c r="AA33" s="143"/>
      <c r="AE33" s="216"/>
    </row>
    <row r="34" spans="2:31" s="123" customFormat="1" ht="25.15" customHeight="1" x14ac:dyDescent="0.2">
      <c r="B34" s="126"/>
      <c r="C34" s="126"/>
      <c r="D34" s="219"/>
      <c r="E34" s="226"/>
      <c r="F34" s="128"/>
      <c r="G34" s="128"/>
      <c r="H34" s="148"/>
      <c r="I34" s="143"/>
      <c r="K34" s="126"/>
      <c r="L34" s="126"/>
      <c r="M34" s="219"/>
      <c r="N34" s="226"/>
      <c r="O34" s="128"/>
      <c r="P34" s="128"/>
      <c r="Q34" s="148"/>
      <c r="R34" s="143"/>
      <c r="T34" s="126"/>
      <c r="U34" s="126"/>
      <c r="V34" s="219"/>
      <c r="W34" s="127"/>
      <c r="X34" s="128"/>
      <c r="Y34" s="128"/>
      <c r="Z34" s="148"/>
      <c r="AA34" s="143"/>
      <c r="AE34" s="216"/>
    </row>
    <row r="35" spans="2:31" s="123" customFormat="1" ht="25.15" customHeight="1" x14ac:dyDescent="0.2">
      <c r="B35" s="126"/>
      <c r="C35" s="126"/>
      <c r="D35" s="219"/>
      <c r="E35" s="226"/>
      <c r="F35" s="128"/>
      <c r="G35" s="128"/>
      <c r="H35" s="148"/>
      <c r="I35" s="143"/>
      <c r="K35" s="126"/>
      <c r="L35" s="126"/>
      <c r="M35" s="219"/>
      <c r="N35" s="226"/>
      <c r="O35" s="128"/>
      <c r="P35" s="128"/>
      <c r="Q35" s="148"/>
      <c r="R35" s="143"/>
      <c r="T35" s="126"/>
      <c r="U35" s="126"/>
      <c r="V35" s="219"/>
      <c r="W35" s="127"/>
      <c r="X35" s="128"/>
      <c r="Y35" s="128"/>
      <c r="Z35" s="148"/>
      <c r="AA35" s="143"/>
      <c r="AE35" s="216"/>
    </row>
    <row r="36" spans="2:31" s="123" customFormat="1" ht="25.15" customHeight="1" x14ac:dyDescent="0.2">
      <c r="B36" s="126"/>
      <c r="C36" s="126"/>
      <c r="D36" s="219"/>
      <c r="E36" s="226"/>
      <c r="F36" s="128"/>
      <c r="G36" s="128"/>
      <c r="H36" s="148"/>
      <c r="I36" s="143"/>
      <c r="K36" s="126"/>
      <c r="L36" s="126"/>
      <c r="M36" s="219"/>
      <c r="N36" s="226"/>
      <c r="O36" s="128"/>
      <c r="P36" s="128"/>
      <c r="Q36" s="148"/>
      <c r="R36" s="143"/>
      <c r="T36" s="126"/>
      <c r="U36" s="126"/>
      <c r="V36" s="219"/>
      <c r="W36" s="127"/>
      <c r="X36" s="128"/>
      <c r="Y36" s="128"/>
      <c r="Z36" s="148"/>
      <c r="AA36" s="143"/>
      <c r="AE36" s="216"/>
    </row>
    <row r="37" spans="2:31" s="123" customFormat="1" ht="25.15" customHeight="1" x14ac:dyDescent="0.2">
      <c r="B37" s="126"/>
      <c r="C37" s="126"/>
      <c r="D37" s="219"/>
      <c r="E37" s="226"/>
      <c r="F37" s="128"/>
      <c r="G37" s="128"/>
      <c r="H37" s="148"/>
      <c r="I37" s="143"/>
      <c r="K37" s="126"/>
      <c r="L37" s="126"/>
      <c r="M37" s="219"/>
      <c r="N37" s="226"/>
      <c r="O37" s="128"/>
      <c r="P37" s="128"/>
      <c r="Q37" s="148"/>
      <c r="R37" s="143"/>
      <c r="T37" s="126"/>
      <c r="U37" s="126"/>
      <c r="V37" s="219"/>
      <c r="W37" s="127"/>
      <c r="X37" s="128"/>
      <c r="Y37" s="128"/>
      <c r="Z37" s="148"/>
      <c r="AA37" s="143"/>
      <c r="AE37" s="216"/>
    </row>
    <row r="38" spans="2:31" s="123" customFormat="1" ht="25.15" customHeight="1" x14ac:dyDescent="0.2">
      <c r="B38" s="126"/>
      <c r="C38" s="126"/>
      <c r="D38" s="219"/>
      <c r="E38" s="226"/>
      <c r="F38" s="128"/>
      <c r="G38" s="128"/>
      <c r="H38" s="148"/>
      <c r="I38" s="143"/>
      <c r="K38" s="126"/>
      <c r="L38" s="126"/>
      <c r="M38" s="219"/>
      <c r="N38" s="226"/>
      <c r="O38" s="128"/>
      <c r="P38" s="128"/>
      <c r="Q38" s="148"/>
      <c r="R38" s="143"/>
      <c r="T38" s="126"/>
      <c r="U38" s="126"/>
      <c r="V38" s="219"/>
      <c r="W38" s="127"/>
      <c r="X38" s="128"/>
      <c r="Y38" s="128"/>
      <c r="Z38" s="148"/>
      <c r="AA38" s="143"/>
      <c r="AE38" s="216"/>
    </row>
    <row r="39" spans="2:31" s="123" customFormat="1" ht="25.15" customHeight="1" x14ac:dyDescent="0.2">
      <c r="B39" s="126"/>
      <c r="C39" s="126"/>
      <c r="D39" s="219"/>
      <c r="E39" s="226"/>
      <c r="F39" s="128"/>
      <c r="G39" s="128"/>
      <c r="H39" s="148"/>
      <c r="I39" s="143"/>
      <c r="K39" s="126"/>
      <c r="L39" s="126"/>
      <c r="M39" s="219"/>
      <c r="N39" s="226"/>
      <c r="O39" s="128"/>
      <c r="P39" s="128"/>
      <c r="Q39" s="148"/>
      <c r="R39" s="143"/>
      <c r="T39" s="126"/>
      <c r="U39" s="126"/>
      <c r="V39" s="219"/>
      <c r="W39" s="127"/>
      <c r="X39" s="128"/>
      <c r="Y39" s="128"/>
      <c r="Z39" s="148"/>
      <c r="AA39" s="143"/>
      <c r="AE39" s="216"/>
    </row>
    <row r="40" spans="2:31" s="123" customFormat="1" ht="25.15" customHeight="1" x14ac:dyDescent="0.2">
      <c r="B40" s="126"/>
      <c r="C40" s="126"/>
      <c r="D40" s="219"/>
      <c r="E40" s="226"/>
      <c r="F40" s="128"/>
      <c r="G40" s="128"/>
      <c r="H40" s="148"/>
      <c r="I40" s="143"/>
      <c r="K40" s="126"/>
      <c r="L40" s="126"/>
      <c r="M40" s="219"/>
      <c r="N40" s="226"/>
      <c r="O40" s="128"/>
      <c r="P40" s="128"/>
      <c r="Q40" s="148"/>
      <c r="R40" s="143"/>
      <c r="T40" s="126"/>
      <c r="U40" s="126"/>
      <c r="V40" s="219"/>
      <c r="W40" s="127"/>
      <c r="X40" s="128"/>
      <c r="Y40" s="128"/>
      <c r="Z40" s="148"/>
      <c r="AA40" s="143"/>
      <c r="AE40" s="216"/>
    </row>
    <row r="41" spans="2:31" s="123" customFormat="1" ht="25.15" customHeight="1" x14ac:dyDescent="0.2">
      <c r="B41" s="126"/>
      <c r="C41" s="126"/>
      <c r="D41" s="219"/>
      <c r="E41" s="226"/>
      <c r="F41" s="128"/>
      <c r="G41" s="128"/>
      <c r="H41" s="148"/>
      <c r="I41" s="143"/>
      <c r="K41" s="126"/>
      <c r="L41" s="126"/>
      <c r="M41" s="219"/>
      <c r="N41" s="226"/>
      <c r="O41" s="128"/>
      <c r="P41" s="128"/>
      <c r="Q41" s="148"/>
      <c r="R41" s="143"/>
      <c r="T41" s="126"/>
      <c r="U41" s="126"/>
      <c r="V41" s="219"/>
      <c r="W41" s="127"/>
      <c r="X41" s="128"/>
      <c r="Y41" s="128"/>
      <c r="Z41" s="148"/>
      <c r="AA41" s="143"/>
      <c r="AE41" s="216"/>
    </row>
  </sheetData>
  <phoneticPr fontId="2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8"/>
  <dimension ref="A1:B61"/>
  <sheetViews>
    <sheetView topLeftCell="A37" zoomScaleSheetLayoutView="100" workbookViewId="0">
      <selection activeCell="A52" sqref="A52:B53"/>
    </sheetView>
  </sheetViews>
  <sheetFormatPr defaultColWidth="9" defaultRowHeight="12.75" x14ac:dyDescent="0.2"/>
  <cols>
    <col min="1" max="1" width="27" customWidth="1"/>
    <col min="2" max="2" width="71" customWidth="1"/>
  </cols>
  <sheetData>
    <row r="1" spans="1:2" ht="21" x14ac:dyDescent="0.2">
      <c r="A1" s="351" t="s">
        <v>48</v>
      </c>
      <c r="B1" s="351"/>
    </row>
    <row r="2" spans="1:2" ht="36.6" customHeight="1" x14ac:dyDescent="0.2">
      <c r="A2" s="358" t="s">
        <v>47</v>
      </c>
      <c r="B2" s="358"/>
    </row>
    <row r="3" spans="1:2" ht="18.75" x14ac:dyDescent="0.2">
      <c r="A3" s="352" t="s">
        <v>8</v>
      </c>
      <c r="B3" s="352"/>
    </row>
    <row r="4" spans="1:2" ht="18.75" x14ac:dyDescent="0.2">
      <c r="A4" s="352" t="s">
        <v>9</v>
      </c>
      <c r="B4" s="352"/>
    </row>
    <row r="5" spans="1:2" ht="18.75" x14ac:dyDescent="0.2">
      <c r="A5" s="352" t="s">
        <v>10</v>
      </c>
      <c r="B5" s="352"/>
    </row>
    <row r="6" spans="1:2" ht="16.5" x14ac:dyDescent="0.2">
      <c r="A6" s="13" t="s">
        <v>49</v>
      </c>
    </row>
    <row r="7" spans="1:2" ht="16.5" x14ac:dyDescent="0.2">
      <c r="A7" s="10" t="s">
        <v>11</v>
      </c>
      <c r="B7" s="6" t="s">
        <v>12</v>
      </c>
    </row>
    <row r="8" spans="1:2" ht="16.5" x14ac:dyDescent="0.2">
      <c r="A8" s="7" t="s">
        <v>13</v>
      </c>
      <c r="B8" s="8" t="s">
        <v>14</v>
      </c>
    </row>
    <row r="9" spans="1:2" ht="16.5" x14ac:dyDescent="0.2">
      <c r="A9" s="9" t="s">
        <v>15</v>
      </c>
      <c r="B9" s="8" t="s">
        <v>16</v>
      </c>
    </row>
    <row r="10" spans="1:2" ht="16.5" x14ac:dyDescent="0.2">
      <c r="A10" s="9" t="s">
        <v>17</v>
      </c>
      <c r="B10" s="8" t="s">
        <v>18</v>
      </c>
    </row>
    <row r="11" spans="1:2" ht="16.5" x14ac:dyDescent="0.2">
      <c r="A11" s="13" t="s">
        <v>51</v>
      </c>
    </row>
    <row r="12" spans="1:2" ht="16.5" x14ac:dyDescent="0.2">
      <c r="A12" s="352" t="s">
        <v>19</v>
      </c>
      <c r="B12" s="352"/>
    </row>
    <row r="14" spans="1:2" ht="16.5" x14ac:dyDescent="0.2">
      <c r="A14" s="357" t="s">
        <v>50</v>
      </c>
      <c r="B14" s="357"/>
    </row>
    <row r="15" spans="1:2" ht="16.5" x14ac:dyDescent="0.2">
      <c r="A15" s="5" t="s">
        <v>20</v>
      </c>
    </row>
    <row r="16" spans="1:2" ht="17.45" customHeight="1" x14ac:dyDescent="0.2">
      <c r="A16" s="10" t="s">
        <v>21</v>
      </c>
      <c r="B16" s="6" t="s">
        <v>12</v>
      </c>
    </row>
    <row r="17" spans="1:2" ht="17.45" customHeight="1" x14ac:dyDescent="0.2">
      <c r="A17" s="9" t="s">
        <v>22</v>
      </c>
      <c r="B17" s="8" t="s">
        <v>23</v>
      </c>
    </row>
    <row r="18" spans="1:2" ht="17.45" customHeight="1" x14ac:dyDescent="0.2">
      <c r="A18" s="354" t="s">
        <v>24</v>
      </c>
      <c r="B18" s="11" t="s">
        <v>25</v>
      </c>
    </row>
    <row r="19" spans="1:2" ht="17.45" customHeight="1" x14ac:dyDescent="0.2">
      <c r="A19" s="355"/>
      <c r="B19" s="8" t="s">
        <v>26</v>
      </c>
    </row>
    <row r="20" spans="1:2" ht="16.5" x14ac:dyDescent="0.2">
      <c r="A20" s="5" t="s">
        <v>27</v>
      </c>
    </row>
    <row r="21" spans="1:2" ht="18.75" x14ac:dyDescent="0.2">
      <c r="A21" s="350" t="s">
        <v>28</v>
      </c>
      <c r="B21" s="350"/>
    </row>
    <row r="22" spans="1:2" ht="18.75" x14ac:dyDescent="0.2">
      <c r="A22" s="350" t="s">
        <v>29</v>
      </c>
      <c r="B22" s="350"/>
    </row>
    <row r="23" spans="1:2" ht="16.5" x14ac:dyDescent="0.2">
      <c r="A23" s="12"/>
      <c r="B23" s="12"/>
    </row>
    <row r="24" spans="1:2" ht="16.5" x14ac:dyDescent="0.2">
      <c r="A24" s="14" t="s">
        <v>30</v>
      </c>
    </row>
    <row r="25" spans="1:2" ht="16.5" x14ac:dyDescent="0.2">
      <c r="A25" s="352" t="s">
        <v>20</v>
      </c>
      <c r="B25" s="352"/>
    </row>
    <row r="26" spans="1:2" ht="16.5" x14ac:dyDescent="0.2">
      <c r="A26" s="352" t="s">
        <v>31</v>
      </c>
      <c r="B26" s="352"/>
    </row>
    <row r="27" spans="1:2" ht="16.5" x14ac:dyDescent="0.2">
      <c r="A27" s="5" t="s">
        <v>27</v>
      </c>
    </row>
    <row r="28" spans="1:2" ht="18.75" x14ac:dyDescent="0.2">
      <c r="A28" s="350" t="s">
        <v>32</v>
      </c>
      <c r="B28" s="350"/>
    </row>
    <row r="29" spans="1:2" ht="18.75" x14ac:dyDescent="0.2">
      <c r="A29" s="350" t="s">
        <v>33</v>
      </c>
      <c r="B29" s="350"/>
    </row>
    <row r="30" spans="1:2" ht="16.5" x14ac:dyDescent="0.2">
      <c r="A30" s="12"/>
      <c r="B30" s="12"/>
    </row>
    <row r="31" spans="1:2" ht="16.5" x14ac:dyDescent="0.2">
      <c r="A31" s="356" t="s">
        <v>34</v>
      </c>
      <c r="B31" s="356"/>
    </row>
    <row r="32" spans="1:2" ht="16.5" x14ac:dyDescent="0.2">
      <c r="A32" s="5" t="s">
        <v>20</v>
      </c>
    </row>
    <row r="33" spans="1:2" ht="16.5" x14ac:dyDescent="0.2">
      <c r="A33" s="352" t="s">
        <v>31</v>
      </c>
      <c r="B33" s="352"/>
    </row>
    <row r="34" spans="1:2" ht="16.5" x14ac:dyDescent="0.2">
      <c r="A34" s="5" t="s">
        <v>27</v>
      </c>
    </row>
    <row r="35" spans="1:2" ht="18.75" x14ac:dyDescent="0.2">
      <c r="A35" s="350" t="s">
        <v>32</v>
      </c>
      <c r="B35" s="350"/>
    </row>
    <row r="36" spans="1:2" ht="18.75" x14ac:dyDescent="0.2">
      <c r="A36" s="350" t="s">
        <v>33</v>
      </c>
      <c r="B36" s="350"/>
    </row>
    <row r="37" spans="1:2" ht="16.5" x14ac:dyDescent="0.2">
      <c r="A37" s="12"/>
      <c r="B37" s="12"/>
    </row>
    <row r="38" spans="1:2" ht="16.5" x14ac:dyDescent="0.2">
      <c r="A38" s="13" t="s">
        <v>52</v>
      </c>
    </row>
    <row r="39" spans="1:2" ht="16.5" x14ac:dyDescent="0.2">
      <c r="A39" s="352" t="s">
        <v>35</v>
      </c>
      <c r="B39" s="352"/>
    </row>
    <row r="40" spans="1:2" ht="18.75" x14ac:dyDescent="0.2">
      <c r="A40" s="350" t="s">
        <v>36</v>
      </c>
      <c r="B40" s="350"/>
    </row>
    <row r="41" spans="1:2" ht="18.75" x14ac:dyDescent="0.2">
      <c r="A41" s="350" t="s">
        <v>37</v>
      </c>
      <c r="B41" s="350"/>
    </row>
    <row r="42" spans="1:2" ht="16.5" x14ac:dyDescent="0.2">
      <c r="A42" s="15" t="s">
        <v>53</v>
      </c>
      <c r="B42" s="16"/>
    </row>
    <row r="43" spans="1:2" ht="16.5" x14ac:dyDescent="0.2">
      <c r="A43" s="353" t="s">
        <v>39</v>
      </c>
      <c r="B43" s="353"/>
    </row>
    <row r="44" spans="1:2" ht="17.25" x14ac:dyDescent="0.2">
      <c r="A44" s="353" t="s">
        <v>54</v>
      </c>
      <c r="B44" s="353"/>
    </row>
    <row r="45" spans="1:2" ht="17.25" x14ac:dyDescent="0.2">
      <c r="A45" s="353" t="s">
        <v>55</v>
      </c>
      <c r="B45" s="353"/>
    </row>
    <row r="46" spans="1:2" ht="16.5" x14ac:dyDescent="0.2">
      <c r="A46" s="353" t="s">
        <v>40</v>
      </c>
      <c r="B46" s="353"/>
    </row>
    <row r="47" spans="1:2" ht="17.25" x14ac:dyDescent="0.2">
      <c r="A47" s="353" t="s">
        <v>56</v>
      </c>
      <c r="B47" s="353"/>
    </row>
    <row r="48" spans="1:2" ht="17.25" x14ac:dyDescent="0.2">
      <c r="A48" s="353" t="s">
        <v>55</v>
      </c>
      <c r="B48" s="353"/>
    </row>
    <row r="49" spans="1:2" ht="16.5" x14ac:dyDescent="0.2">
      <c r="A49" s="12"/>
      <c r="B49" s="12"/>
    </row>
    <row r="50" spans="1:2" ht="16.5" x14ac:dyDescent="0.2">
      <c r="A50" s="5" t="s">
        <v>41</v>
      </c>
    </row>
    <row r="51" spans="1:2" ht="16.5" x14ac:dyDescent="0.2">
      <c r="A51" s="352" t="s">
        <v>35</v>
      </c>
      <c r="B51" s="352"/>
    </row>
    <row r="52" spans="1:2" ht="18.75" x14ac:dyDescent="0.2">
      <c r="A52" s="350" t="s">
        <v>42</v>
      </c>
      <c r="B52" s="350"/>
    </row>
    <row r="53" spans="1:2" ht="18.75" x14ac:dyDescent="0.2">
      <c r="A53" s="350" t="s">
        <v>43</v>
      </c>
      <c r="B53" s="350"/>
    </row>
    <row r="54" spans="1:2" ht="16.5" x14ac:dyDescent="0.2">
      <c r="A54" s="5" t="s">
        <v>38</v>
      </c>
    </row>
    <row r="55" spans="1:2" ht="16.5" x14ac:dyDescent="0.2">
      <c r="A55" s="350" t="s">
        <v>39</v>
      </c>
      <c r="B55" s="350"/>
    </row>
    <row r="56" spans="1:2" ht="18.75" x14ac:dyDescent="0.2">
      <c r="A56" s="350" t="s">
        <v>44</v>
      </c>
      <c r="B56" s="350"/>
    </row>
    <row r="57" spans="1:2" ht="18.75" x14ac:dyDescent="0.2">
      <c r="A57" s="350" t="s">
        <v>45</v>
      </c>
      <c r="B57" s="350"/>
    </row>
    <row r="58" spans="1:2" ht="16.5" x14ac:dyDescent="0.2">
      <c r="A58" s="350" t="s">
        <v>40</v>
      </c>
      <c r="B58" s="350"/>
    </row>
    <row r="59" spans="1:2" ht="18.75" x14ac:dyDescent="0.2">
      <c r="A59" s="350" t="s">
        <v>46</v>
      </c>
      <c r="B59" s="350"/>
    </row>
    <row r="60" spans="1:2" ht="18.75" x14ac:dyDescent="0.2">
      <c r="A60" s="350" t="s">
        <v>45</v>
      </c>
      <c r="B60" s="350"/>
    </row>
    <row r="61" spans="1:2" ht="15.75" x14ac:dyDescent="0.2">
      <c r="A61" s="5"/>
    </row>
  </sheetData>
  <mergeCells count="36">
    <mergeCell ref="A14:B14"/>
    <mergeCell ref="A3:B3"/>
    <mergeCell ref="A4:B4"/>
    <mergeCell ref="A5:B5"/>
    <mergeCell ref="A2:B2"/>
    <mergeCell ref="A12:B12"/>
    <mergeCell ref="A45:B45"/>
    <mergeCell ref="A46:B46"/>
    <mergeCell ref="A18:A19"/>
    <mergeCell ref="A21:B21"/>
    <mergeCell ref="A33:B33"/>
    <mergeCell ref="A35:B35"/>
    <mergeCell ref="A36:B36"/>
    <mergeCell ref="A39:B39"/>
    <mergeCell ref="A22:B22"/>
    <mergeCell ref="A25:B25"/>
    <mergeCell ref="A26:B26"/>
    <mergeCell ref="A28:B28"/>
    <mergeCell ref="A29:B29"/>
    <mergeCell ref="A31:B31"/>
    <mergeCell ref="A60:B60"/>
    <mergeCell ref="A1:B1"/>
    <mergeCell ref="A51:B51"/>
    <mergeCell ref="A52:B52"/>
    <mergeCell ref="A53:B53"/>
    <mergeCell ref="A55:B55"/>
    <mergeCell ref="A40:B40"/>
    <mergeCell ref="A58:B58"/>
    <mergeCell ref="A59:B59"/>
    <mergeCell ref="A41:B41"/>
    <mergeCell ref="A43:B43"/>
    <mergeCell ref="A44:B44"/>
    <mergeCell ref="A56:B56"/>
    <mergeCell ref="A57:B57"/>
    <mergeCell ref="A47:B47"/>
    <mergeCell ref="A48:B48"/>
  </mergeCells>
  <phoneticPr fontId="2" type="noConversion"/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日用電統計</vt:lpstr>
      <vt:lpstr>電費計算基礎</vt:lpstr>
      <vt:lpstr>年度統計表</vt:lpstr>
      <vt:lpstr>Sheet3</vt:lpstr>
      <vt:lpstr>電費計算基礎!Print_Titles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總務部</dc:creator>
  <cp:lastModifiedBy>Jenghwa Chen</cp:lastModifiedBy>
  <cp:lastPrinted>2021-12-08T07:04:34Z</cp:lastPrinted>
  <dcterms:created xsi:type="dcterms:W3CDTF">2017-04-06T10:45:40Z</dcterms:created>
  <dcterms:modified xsi:type="dcterms:W3CDTF">2023-05-31T02:36:26Z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